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marcio.mjf\Desktop\ESTUDO PLANILHAS PE 012021\"/>
    </mc:Choice>
  </mc:AlternateContent>
  <xr:revisionPtr revIDLastSave="0" documentId="13_ncr:1_{A8B5A674-84BE-4D2C-A925-542F7FE2EDE2}" xr6:coauthVersionLast="41" xr6:coauthVersionMax="41" xr10:uidLastSave="{00000000-0000-0000-0000-000000000000}"/>
  <bookViews>
    <workbookView xWindow="-28920" yWindow="-120" windowWidth="29040" windowHeight="15840" tabRatio="749" activeTab="2" xr2:uid="{00000000-000D-0000-FFFF-FFFF00000000}"/>
  </bookViews>
  <sheets>
    <sheet name="INTRUÇÕES E AVISOS" sheetId="44" r:id="rId1"/>
    <sheet name="MEMÓRIA DE CÁLCULO REF 1º ANO" sheetId="27" r:id="rId2"/>
    <sheet name="DADOS BÁSICOS LICITAÇÃO" sheetId="2" r:id="rId3"/>
    <sheet name="RECEPÇÃO 1º ANO" sheetId="4" r:id="rId4"/>
    <sheet name="TELEFONISTA 1º ANO" sheetId="5" r:id="rId5"/>
    <sheet name="RESUMO" sheetId="1" r:id="rId6"/>
    <sheet name="MEMÓRIA DE CÁLCULO REF 2º ANO" sheetId="28" r:id="rId7"/>
    <sheet name="DADOS BÁSICOS 2º ANO" sheetId="14" r:id="rId8"/>
    <sheet name="RECEPÇÃO 2º ANO" sheetId="15" r:id="rId9"/>
    <sheet name="TELEFONISTA 2º ANO" sheetId="16" r:id="rId10"/>
    <sheet name="RESUMO 2º ANO" sheetId="17" r:id="rId11"/>
    <sheet name="MEMÓRIA DE CÁLCULO REF 3º ANO" sheetId="29" r:id="rId12"/>
    <sheet name="DADOS BÁSICOS 3º ANO" sheetId="30" r:id="rId13"/>
    <sheet name="RECEPÇÃO 3º ANO" sheetId="31" r:id="rId14"/>
    <sheet name="TELEFONISTA 3º ANO" sheetId="32" r:id="rId15"/>
    <sheet name="RESUMO 3º ANO" sheetId="33" r:id="rId16"/>
    <sheet name="MEMÓRIA DE CÁLCULO REF 4º ANO" sheetId="34" r:id="rId17"/>
    <sheet name="DADOS BÁSICOS 4º ANO" sheetId="36" r:id="rId18"/>
    <sheet name="RECEPÇÃO 4º ANO" sheetId="37" r:id="rId19"/>
    <sheet name="TELEFONISTA 4º ANO" sheetId="38" r:id="rId20"/>
    <sheet name="RESUMO 4º ANO" sheetId="39" r:id="rId21"/>
    <sheet name="MEMÓRIA DE CÁLCULO REF 5º ANO" sheetId="35" r:id="rId22"/>
    <sheet name="DADOS BÁSICOS 5º ANO" sheetId="40" r:id="rId23"/>
    <sheet name="RECEPÇÃO 5º ANO" sheetId="41" r:id="rId24"/>
    <sheet name="TELEFONISTA 5º ANO" sheetId="42" r:id="rId25"/>
    <sheet name="RESUMO 5º ANO" sheetId="43" r:id="rId26"/>
  </sheets>
  <definedNames>
    <definedName name="_xlnm.Print_Area" localSheetId="7">'DADOS BÁSICOS 2º ANO'!$A$1:$N$57</definedName>
    <definedName name="_xlnm.Print_Area" localSheetId="12">'DADOS BÁSICOS 3º ANO'!$A$1:$N$57</definedName>
    <definedName name="_xlnm.Print_Area" localSheetId="17">'DADOS BÁSICOS 4º ANO'!$A$1:$N$57</definedName>
    <definedName name="_xlnm.Print_Area" localSheetId="22">'DADOS BÁSICOS 5º ANO'!$A$1:$N$57</definedName>
    <definedName name="_xlnm.Print_Area" localSheetId="2">'DADOS BÁSICOS LICITAÇÃO'!$A$1:$N$56</definedName>
    <definedName name="_xlnm.Print_Area" localSheetId="0">'INTRUÇÕES E AVISOS'!$A$1:$N$6</definedName>
    <definedName name="_xlnm.Print_Area" localSheetId="1">'MEMÓRIA DE CÁLCULO REF 1º ANO'!$A$1:$I$155</definedName>
    <definedName name="_xlnm.Print_Area" localSheetId="6">'MEMÓRIA DE CÁLCULO REF 2º ANO'!$A$1:$I$155</definedName>
    <definedName name="_xlnm.Print_Area" localSheetId="11">'MEMÓRIA DE CÁLCULO REF 3º ANO'!$A$1:$I$155</definedName>
    <definedName name="_xlnm.Print_Area" localSheetId="16">'MEMÓRIA DE CÁLCULO REF 4º ANO'!$A$1:$I$155</definedName>
    <definedName name="_xlnm.Print_Area" localSheetId="21">'MEMÓRIA DE CÁLCULO REF 5º ANO'!$A$1:$I$155</definedName>
    <definedName name="_xlnm.Print_Area" localSheetId="3">'RECEPÇÃO 1º ANO'!$A$1:$I$155</definedName>
    <definedName name="_xlnm.Print_Area" localSheetId="8">'RECEPÇÃO 2º ANO'!$A$1:$I$155</definedName>
    <definedName name="_xlnm.Print_Area" localSheetId="13">'RECEPÇÃO 3º ANO'!$A$1:$I$155</definedName>
    <definedName name="_xlnm.Print_Area" localSheetId="18">'RECEPÇÃO 4º ANO'!$A$1:$I$155</definedName>
    <definedName name="_xlnm.Print_Area" localSheetId="23">'RECEPÇÃO 5º ANO'!$A$1:$I$155</definedName>
    <definedName name="_xlnm.Print_Area" localSheetId="5">RESUMO!$B$1:$I$14</definedName>
    <definedName name="_xlnm.Print_Area" localSheetId="10">'RESUMO 2º ANO'!$B$1:$I$14</definedName>
    <definedName name="_xlnm.Print_Area" localSheetId="15">'RESUMO 3º ANO'!$B$1:$I$14</definedName>
    <definedName name="_xlnm.Print_Area" localSheetId="20">'RESUMO 4º ANO'!$B$1:$I$14</definedName>
    <definedName name="_xlnm.Print_Area" localSheetId="25">'RESUMO 5º ANO'!$B$1:$I$14</definedName>
    <definedName name="_xlnm.Print_Area" localSheetId="4">'TELEFONISTA 1º ANO'!$A$1:$I$155</definedName>
    <definedName name="_xlnm.Print_Area" localSheetId="9">'TELEFONISTA 2º ANO'!$A$1:$I$155</definedName>
    <definedName name="_xlnm.Print_Area" localSheetId="14">'TELEFONISTA 3º ANO'!$A$1:$I$155</definedName>
    <definedName name="_xlnm.Print_Area" localSheetId="19">'TELEFONISTA 4º ANO'!$A$1:$I$155</definedName>
    <definedName name="_xlnm.Print_Area" localSheetId="24">'TELEFONISTA 5º ANO'!$A$1:$I$155</definedName>
    <definedName name="ARMAM." localSheetId="0">!#REF!</definedName>
    <definedName name="ARMAM." localSheetId="1">!#REF!</definedName>
    <definedName name="ARMAM." localSheetId="6">!#REF!</definedName>
    <definedName name="ARMAM." localSheetId="11">!#REF!</definedName>
    <definedName name="ARMAM." localSheetId="16">!#REF!</definedName>
    <definedName name="ARMAM." localSheetId="21">!#REF!</definedName>
    <definedName name="ARMAM.">!#REF!</definedName>
    <definedName name="EQUIP" localSheetId="0">!#REF!</definedName>
    <definedName name="EQUIP" localSheetId="1">!#REF!</definedName>
    <definedName name="EQUIP" localSheetId="6">!#REF!</definedName>
    <definedName name="EQUIP" localSheetId="11">!#REF!</definedName>
    <definedName name="EQUIP" localSheetId="16">!#REF!</definedName>
    <definedName name="EQUIP" localSheetId="21">!#REF!</definedName>
    <definedName name="EQUIP">!#REF!</definedName>
    <definedName name="UNIF" localSheetId="0">!#REF!</definedName>
    <definedName name="UNIF" localSheetId="1">!#REF!</definedName>
    <definedName name="UNIF" localSheetId="6">!#REF!</definedName>
    <definedName name="UNIF" localSheetId="11">!#REF!</definedName>
    <definedName name="UNIF" localSheetId="16">!#REF!</definedName>
    <definedName name="UNIF" localSheetId="21">!#REF!</definedName>
    <definedName name="UNIF">!#REF!</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 l="1"/>
  <c r="B4" i="2"/>
  <c r="I150" i="27" l="1"/>
  <c r="H71" i="40" l="1"/>
  <c r="H70" i="40"/>
  <c r="H69" i="40"/>
  <c r="H68" i="40"/>
  <c r="H67" i="40"/>
  <c r="H66" i="40"/>
  <c r="H65" i="40"/>
  <c r="H64" i="40"/>
  <c r="H63" i="40"/>
  <c r="H62" i="40"/>
  <c r="H61" i="40"/>
  <c r="H60" i="40"/>
  <c r="H59" i="40"/>
  <c r="E54" i="40"/>
  <c r="F54" i="40" s="1"/>
  <c r="G54" i="40" s="1"/>
  <c r="D54" i="40"/>
  <c r="D50" i="40"/>
  <c r="C50" i="40"/>
  <c r="B50" i="40"/>
  <c r="A50" i="40"/>
  <c r="C43" i="40"/>
  <c r="A43" i="40"/>
  <c r="C42" i="40"/>
  <c r="A42" i="40"/>
  <c r="C41" i="40"/>
  <c r="A41" i="40"/>
  <c r="C40" i="40"/>
  <c r="A40" i="40"/>
  <c r="C36" i="40"/>
  <c r="B36" i="40"/>
  <c r="A36" i="40"/>
  <c r="C35" i="40"/>
  <c r="B35" i="40"/>
  <c r="A35" i="40"/>
  <c r="C34" i="40"/>
  <c r="B34" i="40"/>
  <c r="A34" i="40"/>
  <c r="C33" i="40"/>
  <c r="B33" i="40"/>
  <c r="A33" i="40"/>
  <c r="C32" i="40"/>
  <c r="B32" i="40"/>
  <c r="A32" i="40"/>
  <c r="C31" i="40"/>
  <c r="B31" i="40"/>
  <c r="A31" i="40"/>
  <c r="C30" i="40"/>
  <c r="B30" i="40"/>
  <c r="A30" i="40"/>
  <c r="C29" i="40"/>
  <c r="B29" i="40"/>
  <c r="A29" i="40"/>
  <c r="C28" i="40"/>
  <c r="B28" i="40"/>
  <c r="A28" i="40"/>
  <c r="C27" i="40"/>
  <c r="B27" i="40"/>
  <c r="A27" i="40"/>
  <c r="B25" i="40"/>
  <c r="B22" i="40"/>
  <c r="A22" i="40"/>
  <c r="F18" i="40"/>
  <c r="E18" i="40"/>
  <c r="D18" i="40"/>
  <c r="C18" i="40"/>
  <c r="B18" i="40"/>
  <c r="A18" i="40"/>
  <c r="F17" i="40"/>
  <c r="E17" i="40"/>
  <c r="D17" i="40"/>
  <c r="C17" i="40"/>
  <c r="B17" i="40"/>
  <c r="A17" i="40"/>
  <c r="U14" i="40"/>
  <c r="T14" i="40"/>
  <c r="S14" i="40"/>
  <c r="R14" i="40"/>
  <c r="Q14" i="40"/>
  <c r="P14" i="40"/>
  <c r="O14" i="40"/>
  <c r="N14" i="40"/>
  <c r="M14" i="40"/>
  <c r="L14" i="40"/>
  <c r="K14" i="40"/>
  <c r="J14" i="40"/>
  <c r="I14" i="40"/>
  <c r="H14" i="40"/>
  <c r="G14" i="40"/>
  <c r="F14" i="40"/>
  <c r="E14" i="40"/>
  <c r="D14" i="40"/>
  <c r="C14" i="40"/>
  <c r="B14" i="40"/>
  <c r="A14" i="40"/>
  <c r="U13" i="40"/>
  <c r="T13" i="40"/>
  <c r="S13" i="40"/>
  <c r="R13" i="40"/>
  <c r="Q13" i="40"/>
  <c r="P13" i="40"/>
  <c r="O13" i="40"/>
  <c r="N13" i="40"/>
  <c r="M13" i="40"/>
  <c r="L13" i="40"/>
  <c r="K13" i="40"/>
  <c r="J13" i="40"/>
  <c r="I13" i="40"/>
  <c r="H13" i="40"/>
  <c r="G13" i="40"/>
  <c r="F13" i="40"/>
  <c r="E13" i="40"/>
  <c r="D13" i="40"/>
  <c r="C13" i="40"/>
  <c r="B13" i="40"/>
  <c r="A13" i="40"/>
  <c r="U12" i="40"/>
  <c r="T12" i="40"/>
  <c r="S12" i="40"/>
  <c r="R12" i="40"/>
  <c r="Q12" i="40"/>
  <c r="P12" i="40"/>
  <c r="O12" i="40"/>
  <c r="N12" i="40"/>
  <c r="M12" i="40"/>
  <c r="L12" i="40"/>
  <c r="K12" i="40"/>
  <c r="J12" i="40"/>
  <c r="I12" i="40"/>
  <c r="H12" i="40"/>
  <c r="G12" i="40"/>
  <c r="F12" i="40"/>
  <c r="E12" i="40"/>
  <c r="D12" i="40"/>
  <c r="C12" i="40"/>
  <c r="B12" i="40"/>
  <c r="A12" i="40"/>
  <c r="U11" i="40"/>
  <c r="T11" i="40"/>
  <c r="S11" i="40"/>
  <c r="R11" i="40"/>
  <c r="Q11" i="40"/>
  <c r="P11" i="40"/>
  <c r="O11" i="40"/>
  <c r="N11" i="40"/>
  <c r="M11" i="40"/>
  <c r="L11" i="40"/>
  <c r="K11" i="40"/>
  <c r="J11" i="40"/>
  <c r="I11" i="40"/>
  <c r="H11" i="40"/>
  <c r="G11" i="40"/>
  <c r="F11" i="40"/>
  <c r="E11" i="40"/>
  <c r="D11" i="40"/>
  <c r="C11" i="40"/>
  <c r="B11" i="40"/>
  <c r="A11" i="40"/>
  <c r="U10" i="40"/>
  <c r="T10" i="40"/>
  <c r="S10" i="40"/>
  <c r="R10" i="40"/>
  <c r="Q10" i="40"/>
  <c r="P10" i="40"/>
  <c r="O10" i="40"/>
  <c r="N10" i="40"/>
  <c r="M10" i="40"/>
  <c r="L10" i="40"/>
  <c r="K10" i="40"/>
  <c r="J10" i="40"/>
  <c r="I10" i="40"/>
  <c r="H10" i="40"/>
  <c r="G10" i="40"/>
  <c r="F10" i="40"/>
  <c r="E10" i="40"/>
  <c r="D10" i="40"/>
  <c r="C10" i="40"/>
  <c r="B10" i="40"/>
  <c r="A10" i="40"/>
  <c r="U9" i="40"/>
  <c r="T9" i="40"/>
  <c r="S9" i="40"/>
  <c r="R9" i="40"/>
  <c r="Q9" i="40"/>
  <c r="P9" i="40"/>
  <c r="O9" i="40"/>
  <c r="N9" i="40"/>
  <c r="M9" i="40"/>
  <c r="L9" i="40"/>
  <c r="K9" i="40"/>
  <c r="J9" i="40"/>
  <c r="I9" i="40"/>
  <c r="H9" i="40"/>
  <c r="G9" i="40"/>
  <c r="F9" i="40"/>
  <c r="E9" i="40"/>
  <c r="D9" i="40"/>
  <c r="C9" i="40"/>
  <c r="B9" i="40"/>
  <c r="A9" i="40"/>
  <c r="U8" i="40"/>
  <c r="T8" i="40"/>
  <c r="S8" i="40"/>
  <c r="R8" i="40"/>
  <c r="Q8" i="40"/>
  <c r="P8" i="40"/>
  <c r="O8" i="40"/>
  <c r="N8" i="40"/>
  <c r="M8" i="40"/>
  <c r="L8" i="40"/>
  <c r="K8" i="40"/>
  <c r="J8" i="40"/>
  <c r="I8" i="40"/>
  <c r="H8" i="40"/>
  <c r="G8" i="40"/>
  <c r="F8" i="40"/>
  <c r="E8" i="40"/>
  <c r="D8" i="40"/>
  <c r="C8" i="40"/>
  <c r="B8" i="40"/>
  <c r="B43" i="40" s="1"/>
  <c r="D43" i="40" s="1"/>
  <c r="A8" i="40"/>
  <c r="E4" i="40"/>
  <c r="D4" i="40"/>
  <c r="C4" i="40"/>
  <c r="B4" i="40"/>
  <c r="E3" i="40"/>
  <c r="D3" i="40"/>
  <c r="C3" i="40"/>
  <c r="B3" i="40"/>
  <c r="A3" i="40"/>
  <c r="H71" i="36"/>
  <c r="H70" i="36"/>
  <c r="H69" i="36"/>
  <c r="H68" i="36"/>
  <c r="H67" i="36"/>
  <c r="H66" i="36"/>
  <c r="H65" i="36"/>
  <c r="H64" i="36"/>
  <c r="H59" i="36" s="1"/>
  <c r="H63" i="36"/>
  <c r="H62" i="36"/>
  <c r="H61" i="36"/>
  <c r="H60" i="36"/>
  <c r="E54" i="36"/>
  <c r="F54" i="36" s="1"/>
  <c r="G54" i="36" s="1"/>
  <c r="D54" i="36"/>
  <c r="D50" i="36"/>
  <c r="C50" i="36"/>
  <c r="B50" i="36"/>
  <c r="A50" i="36"/>
  <c r="C43" i="36"/>
  <c r="A43" i="36"/>
  <c r="C42" i="36"/>
  <c r="A42" i="36"/>
  <c r="C41" i="36"/>
  <c r="A41" i="36"/>
  <c r="C40" i="36"/>
  <c r="A40" i="36"/>
  <c r="C36" i="36"/>
  <c r="B36" i="36"/>
  <c r="A36" i="36"/>
  <c r="C35" i="36"/>
  <c r="B35" i="36"/>
  <c r="A35" i="36"/>
  <c r="C34" i="36"/>
  <c r="B34" i="36"/>
  <c r="A34" i="36"/>
  <c r="C33" i="36"/>
  <c r="B33" i="36"/>
  <c r="A33" i="36"/>
  <c r="C32" i="36"/>
  <c r="B32" i="36"/>
  <c r="A32" i="36"/>
  <c r="C31" i="36"/>
  <c r="B31" i="36"/>
  <c r="A31" i="36"/>
  <c r="C30" i="36"/>
  <c r="B30" i="36"/>
  <c r="A30" i="36"/>
  <c r="C29" i="36"/>
  <c r="B29" i="36"/>
  <c r="A29" i="36"/>
  <c r="C28" i="36"/>
  <c r="B28" i="36"/>
  <c r="A28" i="36"/>
  <c r="C27" i="36"/>
  <c r="B27" i="36"/>
  <c r="A27" i="36"/>
  <c r="B25" i="36"/>
  <c r="B22" i="36"/>
  <c r="A22" i="36"/>
  <c r="F18" i="36"/>
  <c r="E18" i="36"/>
  <c r="D18" i="36"/>
  <c r="C18" i="36"/>
  <c r="B18" i="36"/>
  <c r="A18" i="36"/>
  <c r="F17" i="36"/>
  <c r="E17" i="36"/>
  <c r="D17" i="36"/>
  <c r="C17" i="36"/>
  <c r="B17" i="36"/>
  <c r="A17" i="36"/>
  <c r="U14" i="36"/>
  <c r="T14" i="36"/>
  <c r="S14" i="36"/>
  <c r="R14" i="36"/>
  <c r="Q14" i="36"/>
  <c r="P14" i="36"/>
  <c r="O14" i="36"/>
  <c r="N14" i="36"/>
  <c r="M14" i="36"/>
  <c r="L14" i="36"/>
  <c r="K14" i="36"/>
  <c r="J14" i="36"/>
  <c r="I14" i="36"/>
  <c r="H14" i="36"/>
  <c r="G14" i="36"/>
  <c r="F14" i="36"/>
  <c r="E14" i="36"/>
  <c r="D14" i="36"/>
  <c r="C14" i="36"/>
  <c r="B14" i="36"/>
  <c r="A14" i="36"/>
  <c r="U13" i="36"/>
  <c r="T13" i="36"/>
  <c r="S13" i="36"/>
  <c r="R13" i="36"/>
  <c r="Q13" i="36"/>
  <c r="P13" i="36"/>
  <c r="O13" i="36"/>
  <c r="N13" i="36"/>
  <c r="M13" i="36"/>
  <c r="L13" i="36"/>
  <c r="K13" i="36"/>
  <c r="J13" i="36"/>
  <c r="I13" i="36"/>
  <c r="H13" i="36"/>
  <c r="G13" i="36"/>
  <c r="F13" i="36"/>
  <c r="E13" i="36"/>
  <c r="D13" i="36"/>
  <c r="C13" i="36"/>
  <c r="B13" i="36"/>
  <c r="A13" i="36"/>
  <c r="U12" i="36"/>
  <c r="T12" i="36"/>
  <c r="S12" i="36"/>
  <c r="R12" i="36"/>
  <c r="Q12" i="36"/>
  <c r="P12" i="36"/>
  <c r="O12" i="36"/>
  <c r="N12" i="36"/>
  <c r="M12" i="36"/>
  <c r="L12" i="36"/>
  <c r="K12" i="36"/>
  <c r="J12" i="36"/>
  <c r="I12" i="36"/>
  <c r="H12" i="36"/>
  <c r="G12" i="36"/>
  <c r="F12" i="36"/>
  <c r="E12" i="36"/>
  <c r="D12" i="36"/>
  <c r="C12" i="36"/>
  <c r="B12" i="36"/>
  <c r="A12" i="36"/>
  <c r="U11" i="36"/>
  <c r="T11" i="36"/>
  <c r="S11" i="36"/>
  <c r="R11" i="36"/>
  <c r="Q11" i="36"/>
  <c r="P11" i="36"/>
  <c r="O11" i="36"/>
  <c r="N11" i="36"/>
  <c r="M11" i="36"/>
  <c r="L11" i="36"/>
  <c r="K11" i="36"/>
  <c r="J11" i="36"/>
  <c r="I11" i="36"/>
  <c r="H11" i="36"/>
  <c r="G11" i="36"/>
  <c r="F11" i="36"/>
  <c r="E11" i="36"/>
  <c r="D11" i="36"/>
  <c r="C11" i="36"/>
  <c r="B11" i="36"/>
  <c r="A11" i="36"/>
  <c r="U10" i="36"/>
  <c r="T10" i="36"/>
  <c r="S10" i="36"/>
  <c r="R10" i="36"/>
  <c r="Q10" i="36"/>
  <c r="P10" i="36"/>
  <c r="O10" i="36"/>
  <c r="N10" i="36"/>
  <c r="M10" i="36"/>
  <c r="L10" i="36"/>
  <c r="K10" i="36"/>
  <c r="J10" i="36"/>
  <c r="I10" i="36"/>
  <c r="H10" i="36"/>
  <c r="G10" i="36"/>
  <c r="F10" i="36"/>
  <c r="E10" i="36"/>
  <c r="D10" i="36"/>
  <c r="C10" i="36"/>
  <c r="B10" i="36"/>
  <c r="A10" i="36"/>
  <c r="U9" i="36"/>
  <c r="T9" i="36"/>
  <c r="S9" i="36"/>
  <c r="R9" i="36"/>
  <c r="Q9" i="36"/>
  <c r="P9" i="36"/>
  <c r="O9" i="36"/>
  <c r="N9" i="36"/>
  <c r="M9" i="36"/>
  <c r="L9" i="36"/>
  <c r="K9" i="36"/>
  <c r="J9" i="36"/>
  <c r="I9" i="36"/>
  <c r="H9" i="36"/>
  <c r="G9" i="36"/>
  <c r="F9" i="36"/>
  <c r="E9" i="36"/>
  <c r="D9" i="36"/>
  <c r="C9" i="36"/>
  <c r="B9" i="36"/>
  <c r="A9" i="36"/>
  <c r="U8" i="36"/>
  <c r="T8" i="36"/>
  <c r="S8" i="36"/>
  <c r="R8" i="36"/>
  <c r="Q8" i="36"/>
  <c r="P8" i="36"/>
  <c r="O8" i="36"/>
  <c r="N8" i="36"/>
  <c r="M8" i="36"/>
  <c r="L8" i="36"/>
  <c r="K8" i="36"/>
  <c r="J8" i="36"/>
  <c r="I8" i="36"/>
  <c r="H8" i="36"/>
  <c r="G8" i="36"/>
  <c r="F8" i="36"/>
  <c r="E8" i="36"/>
  <c r="D8" i="36"/>
  <c r="C8" i="36"/>
  <c r="B8" i="36"/>
  <c r="B43" i="36" s="1"/>
  <c r="A8" i="36"/>
  <c r="E4" i="36"/>
  <c r="D4" i="36"/>
  <c r="C4" i="36"/>
  <c r="B4" i="36"/>
  <c r="E3" i="36"/>
  <c r="D3" i="36"/>
  <c r="C3" i="36"/>
  <c r="B3" i="36"/>
  <c r="A3" i="36"/>
  <c r="H71" i="30"/>
  <c r="H70" i="30"/>
  <c r="H69" i="30"/>
  <c r="H68" i="30"/>
  <c r="H67" i="30"/>
  <c r="H66" i="30"/>
  <c r="H65" i="30"/>
  <c r="H64" i="30"/>
  <c r="H63" i="30"/>
  <c r="H62" i="30"/>
  <c r="H61" i="30"/>
  <c r="H59" i="30" s="1"/>
  <c r="H60" i="30"/>
  <c r="D54" i="30"/>
  <c r="E54" i="30" s="1"/>
  <c r="F54" i="30" s="1"/>
  <c r="G54" i="30" s="1"/>
  <c r="D50" i="30"/>
  <c r="C50" i="30"/>
  <c r="B50" i="30"/>
  <c r="A50" i="30"/>
  <c r="C43" i="30"/>
  <c r="A43" i="30"/>
  <c r="C42" i="30"/>
  <c r="A42" i="30"/>
  <c r="C41" i="30"/>
  <c r="A41" i="30"/>
  <c r="C40" i="30"/>
  <c r="A40" i="30"/>
  <c r="C36" i="30"/>
  <c r="B36" i="30"/>
  <c r="A36" i="30"/>
  <c r="C35" i="30"/>
  <c r="B35" i="30"/>
  <c r="A35" i="30"/>
  <c r="C34" i="30"/>
  <c r="B34" i="30"/>
  <c r="A34" i="30"/>
  <c r="C33" i="30"/>
  <c r="B33" i="30"/>
  <c r="A33" i="30"/>
  <c r="C32" i="30"/>
  <c r="B32" i="30"/>
  <c r="A32" i="30"/>
  <c r="C31" i="30"/>
  <c r="B31" i="30"/>
  <c r="A31" i="30"/>
  <c r="C30" i="30"/>
  <c r="B30" i="30"/>
  <c r="A30" i="30"/>
  <c r="C29" i="30"/>
  <c r="B29" i="30"/>
  <c r="A29" i="30"/>
  <c r="C28" i="30"/>
  <c r="B28" i="30"/>
  <c r="A28" i="30"/>
  <c r="C27" i="30"/>
  <c r="B27" i="30"/>
  <c r="A27" i="30"/>
  <c r="B25" i="30"/>
  <c r="B22" i="30"/>
  <c r="A22" i="30"/>
  <c r="F18" i="30"/>
  <c r="E18" i="30"/>
  <c r="D18" i="30"/>
  <c r="C18" i="30"/>
  <c r="B18" i="30"/>
  <c r="A18" i="30"/>
  <c r="F17" i="30"/>
  <c r="E17" i="30"/>
  <c r="D17" i="30"/>
  <c r="C17" i="30"/>
  <c r="B17" i="30"/>
  <c r="A17" i="30"/>
  <c r="U14" i="30"/>
  <c r="T14" i="30"/>
  <c r="S14" i="30"/>
  <c r="R14" i="30"/>
  <c r="Q14" i="30"/>
  <c r="P14" i="30"/>
  <c r="O14" i="30"/>
  <c r="N14" i="30"/>
  <c r="M14" i="30"/>
  <c r="L14" i="30"/>
  <c r="K14" i="30"/>
  <c r="J14" i="30"/>
  <c r="I14" i="30"/>
  <c r="H14" i="30"/>
  <c r="G14" i="30"/>
  <c r="F14" i="30"/>
  <c r="E14" i="30"/>
  <c r="D14" i="30"/>
  <c r="C14" i="30"/>
  <c r="B14" i="30"/>
  <c r="A14" i="30"/>
  <c r="U13" i="30"/>
  <c r="T13" i="30"/>
  <c r="S13" i="30"/>
  <c r="R13" i="30"/>
  <c r="Q13" i="30"/>
  <c r="P13" i="30"/>
  <c r="O13" i="30"/>
  <c r="N13" i="30"/>
  <c r="M13" i="30"/>
  <c r="L13" i="30"/>
  <c r="K13" i="30"/>
  <c r="J13" i="30"/>
  <c r="I13" i="30"/>
  <c r="H13" i="30"/>
  <c r="G13" i="30"/>
  <c r="F13" i="30"/>
  <c r="E13" i="30"/>
  <c r="D13" i="30"/>
  <c r="C13" i="30"/>
  <c r="B13" i="30"/>
  <c r="A13" i="30"/>
  <c r="U12" i="30"/>
  <c r="T12" i="30"/>
  <c r="S12" i="30"/>
  <c r="R12" i="30"/>
  <c r="Q12" i="30"/>
  <c r="P12" i="30"/>
  <c r="O12" i="30"/>
  <c r="N12" i="30"/>
  <c r="M12" i="30"/>
  <c r="L12" i="30"/>
  <c r="K12" i="30"/>
  <c r="J12" i="30"/>
  <c r="I12" i="30"/>
  <c r="H12" i="30"/>
  <c r="G12" i="30"/>
  <c r="F12" i="30"/>
  <c r="E12" i="30"/>
  <c r="D12" i="30"/>
  <c r="C12" i="30"/>
  <c r="B12" i="30"/>
  <c r="A12" i="30"/>
  <c r="U11" i="30"/>
  <c r="T11" i="30"/>
  <c r="S11" i="30"/>
  <c r="R11" i="30"/>
  <c r="Q11" i="30"/>
  <c r="P11" i="30"/>
  <c r="O11" i="30"/>
  <c r="N11" i="30"/>
  <c r="M11" i="30"/>
  <c r="L11" i="30"/>
  <c r="K11" i="30"/>
  <c r="J11" i="30"/>
  <c r="I11" i="30"/>
  <c r="H11" i="30"/>
  <c r="G11" i="30"/>
  <c r="F11" i="30"/>
  <c r="E11" i="30"/>
  <c r="D11" i="30"/>
  <c r="C11" i="30"/>
  <c r="B11" i="30"/>
  <c r="A11" i="30"/>
  <c r="U10" i="30"/>
  <c r="T10" i="30"/>
  <c r="S10" i="30"/>
  <c r="R10" i="30"/>
  <c r="Q10" i="30"/>
  <c r="P10" i="30"/>
  <c r="O10" i="30"/>
  <c r="N10" i="30"/>
  <c r="M10" i="30"/>
  <c r="L10" i="30"/>
  <c r="K10" i="30"/>
  <c r="J10" i="30"/>
  <c r="I10" i="30"/>
  <c r="H10" i="30"/>
  <c r="G10" i="30"/>
  <c r="F10" i="30"/>
  <c r="E10" i="30"/>
  <c r="D10" i="30"/>
  <c r="C10" i="30"/>
  <c r="B10" i="30"/>
  <c r="A10" i="30"/>
  <c r="U9" i="30"/>
  <c r="T9" i="30"/>
  <c r="S9" i="30"/>
  <c r="R9" i="30"/>
  <c r="Q9" i="30"/>
  <c r="P9" i="30"/>
  <c r="O9" i="30"/>
  <c r="N9" i="30"/>
  <c r="M9" i="30"/>
  <c r="L9" i="30"/>
  <c r="K9" i="30"/>
  <c r="J9" i="30"/>
  <c r="I9" i="30"/>
  <c r="H9" i="30"/>
  <c r="G9" i="30"/>
  <c r="F9" i="30"/>
  <c r="E9" i="30"/>
  <c r="D9" i="30"/>
  <c r="C9" i="30"/>
  <c r="B9" i="30"/>
  <c r="A9" i="30"/>
  <c r="U8" i="30"/>
  <c r="T8" i="30"/>
  <c r="S8" i="30"/>
  <c r="R8" i="30"/>
  <c r="Q8" i="30"/>
  <c r="P8" i="30"/>
  <c r="O8" i="30"/>
  <c r="N8" i="30"/>
  <c r="M8" i="30"/>
  <c r="L8" i="30"/>
  <c r="K8" i="30"/>
  <c r="J8" i="30"/>
  <c r="I8" i="30"/>
  <c r="H8" i="30"/>
  <c r="G8" i="30"/>
  <c r="F8" i="30"/>
  <c r="E8" i="30"/>
  <c r="D8" i="30"/>
  <c r="C8" i="30"/>
  <c r="B8" i="30"/>
  <c r="B42" i="30" s="1"/>
  <c r="A8" i="30"/>
  <c r="E4" i="30"/>
  <c r="D4" i="30"/>
  <c r="C4" i="30"/>
  <c r="B4" i="30"/>
  <c r="E3" i="30"/>
  <c r="D3" i="30"/>
  <c r="C3" i="30"/>
  <c r="B3" i="30"/>
  <c r="A3" i="30"/>
  <c r="B43" i="2"/>
  <c r="B42" i="2"/>
  <c r="B41" i="2"/>
  <c r="B40" i="2"/>
  <c r="C5" i="42"/>
  <c r="C4" i="42"/>
  <c r="C3" i="42"/>
  <c r="C2" i="42"/>
  <c r="C5" i="38"/>
  <c r="C4" i="38"/>
  <c r="C3" i="38"/>
  <c r="C2" i="38"/>
  <c r="C5" i="32"/>
  <c r="C4" i="32"/>
  <c r="C3" i="32"/>
  <c r="C2" i="32"/>
  <c r="C5" i="5"/>
  <c r="C4" i="5"/>
  <c r="C3" i="5"/>
  <c r="C2" i="5"/>
  <c r="C5" i="16"/>
  <c r="C4" i="16"/>
  <c r="C3" i="16"/>
  <c r="C2" i="16"/>
  <c r="C5" i="15"/>
  <c r="C4" i="15"/>
  <c r="C3" i="15"/>
  <c r="C2" i="15"/>
  <c r="B4" i="14"/>
  <c r="C4" i="14"/>
  <c r="D4" i="14"/>
  <c r="E4" i="14"/>
  <c r="B3" i="14"/>
  <c r="C3" i="14"/>
  <c r="D3" i="14"/>
  <c r="E3" i="14"/>
  <c r="A3" i="14"/>
  <c r="C5" i="4"/>
  <c r="C4" i="4"/>
  <c r="C3" i="4"/>
  <c r="C2" i="4"/>
  <c r="B43" i="30" l="1"/>
  <c r="D43" i="36"/>
  <c r="D42" i="30"/>
  <c r="B40" i="40"/>
  <c r="D40" i="40" s="1"/>
  <c r="B42" i="40"/>
  <c r="D42" i="40" s="1"/>
  <c r="B41" i="40"/>
  <c r="D41" i="40" s="1"/>
  <c r="B40" i="36"/>
  <c r="D40" i="36" s="1"/>
  <c r="B42" i="36"/>
  <c r="D42" i="36" s="1"/>
  <c r="B41" i="36"/>
  <c r="D41" i="36" s="1"/>
  <c r="D43" i="30"/>
  <c r="B40" i="30"/>
  <c r="D40" i="30" s="1"/>
  <c r="B41" i="30"/>
  <c r="D41" i="30" s="1"/>
  <c r="D44" i="40" l="1"/>
  <c r="D45" i="40" s="1"/>
  <c r="D46" i="40" s="1"/>
  <c r="D44" i="36"/>
  <c r="D45" i="36" s="1"/>
  <c r="D46" i="36" s="1"/>
  <c r="D44" i="30"/>
  <c r="D45" i="30" s="1"/>
  <c r="D46" i="30" s="1"/>
  <c r="A41" i="14" l="1"/>
  <c r="C41" i="14"/>
  <c r="A42" i="14"/>
  <c r="C42" i="14"/>
  <c r="A43" i="14"/>
  <c r="C43" i="14"/>
  <c r="C40" i="14"/>
  <c r="A40" i="14"/>
  <c r="A27" i="14"/>
  <c r="A28" i="14"/>
  <c r="A30" i="14"/>
  <c r="A31" i="14"/>
  <c r="A32" i="14"/>
  <c r="A33" i="14"/>
  <c r="A34" i="14"/>
  <c r="A35" i="14"/>
  <c r="A36" i="14"/>
  <c r="A29" i="14"/>
  <c r="B30" i="14"/>
  <c r="B31" i="14"/>
  <c r="B32" i="14"/>
  <c r="B33" i="14"/>
  <c r="B34" i="14"/>
  <c r="B35" i="14"/>
  <c r="B36" i="14"/>
  <c r="B27" i="14"/>
  <c r="B28" i="14"/>
  <c r="B29" i="14"/>
  <c r="C28" i="14"/>
  <c r="C29" i="14"/>
  <c r="C30" i="14"/>
  <c r="C31" i="14"/>
  <c r="C32" i="14"/>
  <c r="C33" i="14"/>
  <c r="C34" i="14"/>
  <c r="C35" i="14"/>
  <c r="C36" i="14"/>
  <c r="B22" i="14"/>
  <c r="A22" i="14"/>
  <c r="E17" i="14"/>
  <c r="F17" i="14"/>
  <c r="E18" i="14"/>
  <c r="F18" i="14"/>
  <c r="B17" i="14"/>
  <c r="C17" i="14"/>
  <c r="D17" i="14"/>
  <c r="B18" i="14"/>
  <c r="C18" i="14"/>
  <c r="D18" i="14"/>
  <c r="A18" i="14"/>
  <c r="A17" i="14"/>
  <c r="A4" i="36" l="1"/>
  <c r="A4" i="40"/>
  <c r="A4" i="14"/>
  <c r="A4" i="30"/>
  <c r="N9" i="14"/>
  <c r="O9" i="14"/>
  <c r="P9" i="14"/>
  <c r="Q9" i="14"/>
  <c r="R9" i="14"/>
  <c r="S9" i="14"/>
  <c r="T9" i="14"/>
  <c r="U9" i="14"/>
  <c r="N10" i="14"/>
  <c r="O10" i="14"/>
  <c r="P10" i="14"/>
  <c r="Q10" i="14"/>
  <c r="R10" i="14"/>
  <c r="S10" i="14"/>
  <c r="T10" i="14"/>
  <c r="U10" i="14"/>
  <c r="N11" i="14"/>
  <c r="O11" i="14"/>
  <c r="P11" i="14"/>
  <c r="Q11" i="14"/>
  <c r="R11" i="14"/>
  <c r="S11" i="14"/>
  <c r="T11" i="14"/>
  <c r="U11" i="14"/>
  <c r="N12" i="14"/>
  <c r="O12" i="14"/>
  <c r="P12" i="14"/>
  <c r="Q12" i="14"/>
  <c r="R12" i="14"/>
  <c r="S12" i="14"/>
  <c r="T12" i="14"/>
  <c r="U12" i="14"/>
  <c r="N13" i="14"/>
  <c r="O13" i="14"/>
  <c r="P13" i="14"/>
  <c r="Q13" i="14"/>
  <c r="R13" i="14"/>
  <c r="S13" i="14"/>
  <c r="T13" i="14"/>
  <c r="U13" i="14"/>
  <c r="N14" i="14"/>
  <c r="O14" i="14"/>
  <c r="P14" i="14"/>
  <c r="Q14" i="14"/>
  <c r="R14" i="14"/>
  <c r="S14" i="14"/>
  <c r="T14" i="14"/>
  <c r="U14" i="14"/>
  <c r="O8" i="14"/>
  <c r="P8" i="14"/>
  <c r="Q8" i="14"/>
  <c r="R8" i="14"/>
  <c r="S8" i="14"/>
  <c r="T8" i="14"/>
  <c r="U8" i="14"/>
  <c r="N8" i="14"/>
  <c r="M9" i="14"/>
  <c r="M10" i="14"/>
  <c r="M11" i="14"/>
  <c r="M12" i="14"/>
  <c r="M13" i="14"/>
  <c r="M14" i="14"/>
  <c r="M8" i="14"/>
  <c r="L9" i="14"/>
  <c r="L10" i="14"/>
  <c r="L11" i="14"/>
  <c r="L12" i="14"/>
  <c r="L13" i="14"/>
  <c r="L14" i="14"/>
  <c r="L8" i="14"/>
  <c r="K9" i="14"/>
  <c r="K10" i="14"/>
  <c r="K11" i="14"/>
  <c r="K12" i="14"/>
  <c r="K13" i="14"/>
  <c r="K14" i="14"/>
  <c r="K8" i="14"/>
  <c r="J9" i="14"/>
  <c r="J10" i="14"/>
  <c r="J11" i="14"/>
  <c r="J12" i="14"/>
  <c r="J13" i="14"/>
  <c r="J14" i="14"/>
  <c r="J8" i="14"/>
  <c r="I9" i="14"/>
  <c r="I10" i="14"/>
  <c r="I11" i="14"/>
  <c r="I12" i="14"/>
  <c r="I13" i="14"/>
  <c r="I14" i="14"/>
  <c r="I8" i="14"/>
  <c r="H9" i="14"/>
  <c r="H10" i="14"/>
  <c r="H11" i="14"/>
  <c r="H12" i="14"/>
  <c r="H13" i="14"/>
  <c r="H14" i="14"/>
  <c r="H8" i="14"/>
  <c r="G9" i="14"/>
  <c r="G10" i="14"/>
  <c r="G11" i="14"/>
  <c r="G12" i="14"/>
  <c r="G13" i="14"/>
  <c r="G14" i="14"/>
  <c r="G8" i="14"/>
  <c r="F9" i="14"/>
  <c r="F10" i="14"/>
  <c r="F11" i="14"/>
  <c r="F12" i="14"/>
  <c r="F13" i="14"/>
  <c r="F14" i="14"/>
  <c r="F8" i="14"/>
  <c r="E9" i="14"/>
  <c r="E10" i="14"/>
  <c r="E11" i="14"/>
  <c r="E12" i="14"/>
  <c r="E13" i="14"/>
  <c r="E14" i="14"/>
  <c r="E8" i="14"/>
  <c r="D9" i="14"/>
  <c r="D10" i="14"/>
  <c r="D11" i="14"/>
  <c r="D12" i="14"/>
  <c r="D13" i="14"/>
  <c r="D14" i="14"/>
  <c r="D8" i="14"/>
  <c r="A9" i="14"/>
  <c r="A10" i="14"/>
  <c r="A11" i="14"/>
  <c r="A12" i="14"/>
  <c r="A13" i="14"/>
  <c r="A14" i="14"/>
  <c r="A8" i="14"/>
  <c r="C9" i="14"/>
  <c r="C10" i="14"/>
  <c r="C11" i="14"/>
  <c r="C12" i="14"/>
  <c r="C13" i="14"/>
  <c r="C14" i="14"/>
  <c r="C8" i="14"/>
  <c r="B9" i="14"/>
  <c r="B10" i="14"/>
  <c r="B11" i="14"/>
  <c r="B12" i="14"/>
  <c r="B13" i="14"/>
  <c r="B14" i="14"/>
  <c r="B8" i="14"/>
  <c r="B42" i="14" l="1"/>
  <c r="D42" i="14" s="1"/>
  <c r="B41" i="14"/>
  <c r="D41" i="14" s="1"/>
  <c r="B40" i="14"/>
  <c r="D40" i="14" s="1"/>
  <c r="D44" i="14" s="1"/>
  <c r="D45" i="14" s="1"/>
  <c r="D46" i="14" s="1"/>
  <c r="B43" i="14"/>
  <c r="D43" i="14" s="1"/>
  <c r="I112" i="42"/>
  <c r="I116" i="42" s="1"/>
  <c r="H86" i="42"/>
  <c r="H68" i="42"/>
  <c r="B67" i="42"/>
  <c r="B66" i="42"/>
  <c r="B65" i="42"/>
  <c r="H35" i="42"/>
  <c r="H34" i="42"/>
  <c r="H32" i="42"/>
  <c r="H20" i="42"/>
  <c r="H19" i="42"/>
  <c r="H18" i="42"/>
  <c r="H15" i="42"/>
  <c r="H14" i="42"/>
  <c r="H11" i="42"/>
  <c r="H37" i="42" s="1"/>
  <c r="H38" i="42" s="1"/>
  <c r="H10" i="42"/>
  <c r="H8" i="42"/>
  <c r="D13" i="43" s="1"/>
  <c r="H7" i="42"/>
  <c r="P123" i="41"/>
  <c r="Q116" i="41"/>
  <c r="M116" i="41"/>
  <c r="K116" i="41"/>
  <c r="S112" i="41"/>
  <c r="S116" i="41" s="1"/>
  <c r="Q112" i="41"/>
  <c r="O112" i="41"/>
  <c r="O116" i="41" s="1"/>
  <c r="M112" i="41"/>
  <c r="K112" i="41"/>
  <c r="I112" i="41"/>
  <c r="I116" i="41" s="1"/>
  <c r="R86" i="41"/>
  <c r="P86" i="41"/>
  <c r="N86" i="41"/>
  <c r="L86" i="41"/>
  <c r="J86" i="41"/>
  <c r="H86" i="41"/>
  <c r="P72" i="41"/>
  <c r="P70" i="41"/>
  <c r="R68" i="41"/>
  <c r="P68" i="41"/>
  <c r="N68" i="41"/>
  <c r="L68" i="41"/>
  <c r="J68" i="41"/>
  <c r="H68" i="41"/>
  <c r="B67" i="41"/>
  <c r="B66" i="41"/>
  <c r="B65" i="41"/>
  <c r="P39" i="41"/>
  <c r="R35" i="41"/>
  <c r="P35" i="41"/>
  <c r="N35" i="41"/>
  <c r="L35" i="41"/>
  <c r="J35" i="41"/>
  <c r="H35" i="41"/>
  <c r="R34" i="41"/>
  <c r="P34" i="41"/>
  <c r="N34" i="41"/>
  <c r="L34" i="41"/>
  <c r="J34" i="41"/>
  <c r="H34" i="41"/>
  <c r="R32" i="41"/>
  <c r="P32" i="41"/>
  <c r="N32" i="41"/>
  <c r="L32" i="41"/>
  <c r="J32" i="41"/>
  <c r="H32" i="41"/>
  <c r="R20" i="41"/>
  <c r="P20" i="41"/>
  <c r="N20" i="41"/>
  <c r="L20" i="41"/>
  <c r="J20" i="41"/>
  <c r="H20" i="41"/>
  <c r="R19" i="41"/>
  <c r="P19" i="41"/>
  <c r="N19" i="41"/>
  <c r="L19" i="41"/>
  <c r="J19" i="41"/>
  <c r="H19" i="41"/>
  <c r="R18" i="41"/>
  <c r="P18" i="41"/>
  <c r="N18" i="41"/>
  <c r="L18" i="41"/>
  <c r="J18" i="41"/>
  <c r="H18" i="41"/>
  <c r="R15" i="41"/>
  <c r="P15" i="41"/>
  <c r="N15" i="41"/>
  <c r="L15" i="41"/>
  <c r="J15" i="41"/>
  <c r="H15" i="41"/>
  <c r="R14" i="41"/>
  <c r="P14" i="41"/>
  <c r="N14" i="41"/>
  <c r="L14" i="41"/>
  <c r="J14" i="41"/>
  <c r="H14" i="41"/>
  <c r="R11" i="41"/>
  <c r="P11" i="41"/>
  <c r="P71" i="41" s="1"/>
  <c r="N11" i="41"/>
  <c r="L11" i="41"/>
  <c r="L37" i="41" s="1"/>
  <c r="L38" i="41" s="1"/>
  <c r="J11" i="41"/>
  <c r="J72" i="41" s="1"/>
  <c r="H11" i="41"/>
  <c r="H73" i="41" s="1"/>
  <c r="R10" i="41"/>
  <c r="P10" i="41"/>
  <c r="N10" i="41"/>
  <c r="L10" i="41"/>
  <c r="J10" i="41"/>
  <c r="H10" i="41"/>
  <c r="R8" i="41"/>
  <c r="D12" i="43" s="1"/>
  <c r="P8" i="41"/>
  <c r="D11" i="43" s="1"/>
  <c r="N8" i="41"/>
  <c r="D10" i="43" s="1"/>
  <c r="L8" i="41"/>
  <c r="D9" i="43" s="1"/>
  <c r="J8" i="41"/>
  <c r="D8" i="43" s="1"/>
  <c r="H8" i="41"/>
  <c r="D7" i="43" s="1"/>
  <c r="R7" i="41"/>
  <c r="P7" i="41"/>
  <c r="N7" i="41"/>
  <c r="L7" i="41"/>
  <c r="J7" i="41"/>
  <c r="H7" i="41"/>
  <c r="H108" i="41"/>
  <c r="L53" i="41"/>
  <c r="H17" i="42"/>
  <c r="I23" i="42" s="1"/>
  <c r="R143" i="41"/>
  <c r="R139" i="41"/>
  <c r="R138" i="41"/>
  <c r="R58" i="41"/>
  <c r="R59" i="41"/>
  <c r="R64" i="41"/>
  <c r="R62" i="41"/>
  <c r="R17" i="41"/>
  <c r="S23" i="41" s="1"/>
  <c r="S24" i="41" s="1"/>
  <c r="R16" i="41"/>
  <c r="R9" i="41"/>
  <c r="P143" i="41"/>
  <c r="P139" i="41"/>
  <c r="P138" i="41"/>
  <c r="P58" i="41"/>
  <c r="P59" i="41"/>
  <c r="P64" i="41"/>
  <c r="P62" i="41"/>
  <c r="P17" i="41"/>
  <c r="Q23" i="41" s="1"/>
  <c r="Q24" i="41" s="1"/>
  <c r="P16" i="41"/>
  <c r="P9" i="41"/>
  <c r="N143" i="41"/>
  <c r="N139" i="41"/>
  <c r="N138" i="41"/>
  <c r="N58" i="41"/>
  <c r="N59" i="41"/>
  <c r="N64" i="41"/>
  <c r="N62" i="41"/>
  <c r="N17" i="41"/>
  <c r="O23" i="41" s="1"/>
  <c r="N16" i="41"/>
  <c r="N9" i="41"/>
  <c r="L143" i="41"/>
  <c r="L139" i="41"/>
  <c r="L138" i="41"/>
  <c r="L58" i="41"/>
  <c r="L59" i="41"/>
  <c r="L64" i="41"/>
  <c r="L62" i="41"/>
  <c r="M61" i="41" s="1"/>
  <c r="L17" i="41"/>
  <c r="M23" i="41" s="1"/>
  <c r="M24" i="41" s="1"/>
  <c r="L16" i="41"/>
  <c r="L9" i="41"/>
  <c r="J143" i="41"/>
  <c r="J139" i="41"/>
  <c r="J138" i="41"/>
  <c r="J58" i="41"/>
  <c r="J59" i="41"/>
  <c r="J64" i="41"/>
  <c r="S67" i="41"/>
  <c r="M66" i="41"/>
  <c r="Q65" i="41"/>
  <c r="J62" i="41"/>
  <c r="J17" i="41"/>
  <c r="K23" i="41" s="1"/>
  <c r="J16" i="41"/>
  <c r="J9" i="41"/>
  <c r="H143" i="42"/>
  <c r="H139" i="42"/>
  <c r="J88" i="41"/>
  <c r="N83" i="41"/>
  <c r="H58" i="42"/>
  <c r="H64" i="42"/>
  <c r="I67" i="42"/>
  <c r="I65" i="42"/>
  <c r="H17" i="41"/>
  <c r="I23" i="41" s="1"/>
  <c r="H16" i="42"/>
  <c r="H9" i="41"/>
  <c r="H72" i="41" l="1"/>
  <c r="H37" i="41"/>
  <c r="H38" i="41" s="1"/>
  <c r="H33" i="41" s="1"/>
  <c r="H40" i="41" s="1"/>
  <c r="H39" i="41"/>
  <c r="H70" i="41"/>
  <c r="P73" i="41"/>
  <c r="H123" i="41"/>
  <c r="I123" i="41" s="1"/>
  <c r="H72" i="42"/>
  <c r="H71" i="41"/>
  <c r="J70" i="41"/>
  <c r="P37" i="41"/>
  <c r="P38" i="41" s="1"/>
  <c r="H123" i="42"/>
  <c r="Q71" i="41"/>
  <c r="H156" i="42"/>
  <c r="J46" i="41"/>
  <c r="J49" i="41"/>
  <c r="R51" i="41"/>
  <c r="H85" i="41"/>
  <c r="H16" i="41"/>
  <c r="J48" i="41"/>
  <c r="J51" i="41"/>
  <c r="R53" i="41"/>
  <c r="L83" i="41"/>
  <c r="P108" i="41"/>
  <c r="Q61" i="41"/>
  <c r="Q70" i="41" s="1"/>
  <c r="R48" i="41"/>
  <c r="N51" i="41"/>
  <c r="I65" i="41"/>
  <c r="R83" i="41"/>
  <c r="K61" i="41"/>
  <c r="K69" i="41" s="1"/>
  <c r="N48" i="41"/>
  <c r="N46" i="41"/>
  <c r="N49" i="41"/>
  <c r="J52" i="41"/>
  <c r="K66" i="41"/>
  <c r="L85" i="41"/>
  <c r="H9" i="42"/>
  <c r="R46" i="41"/>
  <c r="R49" i="41"/>
  <c r="N52" i="41"/>
  <c r="J47" i="41"/>
  <c r="J50" i="41"/>
  <c r="R52" i="41"/>
  <c r="H141" i="41"/>
  <c r="N47" i="41"/>
  <c r="N50" i="41"/>
  <c r="J53" i="41"/>
  <c r="M67" i="41"/>
  <c r="P141" i="41"/>
  <c r="S57" i="41"/>
  <c r="R47" i="41"/>
  <c r="R50" i="41"/>
  <c r="N53" i="41"/>
  <c r="O67" i="41"/>
  <c r="O73" i="41" s="1"/>
  <c r="J83" i="41"/>
  <c r="L142" i="41"/>
  <c r="K24" i="41"/>
  <c r="K57" i="41"/>
  <c r="M57" i="41"/>
  <c r="Q69" i="41"/>
  <c r="Q68" i="41"/>
  <c r="M69" i="41"/>
  <c r="M68" i="41"/>
  <c r="O24" i="41"/>
  <c r="O57" i="41"/>
  <c r="K121" i="41"/>
  <c r="I123" i="42"/>
  <c r="I121" i="41"/>
  <c r="S121" i="41"/>
  <c r="I121" i="42"/>
  <c r="Q121" i="41"/>
  <c r="Q123" i="41"/>
  <c r="O121" i="41"/>
  <c r="M121" i="41"/>
  <c r="P33" i="41"/>
  <c r="P40" i="41" s="1"/>
  <c r="O61" i="41"/>
  <c r="N123" i="41"/>
  <c r="O123" i="41" s="1"/>
  <c r="E10" i="43"/>
  <c r="N39" i="41"/>
  <c r="N37" i="41"/>
  <c r="N72" i="41"/>
  <c r="N70" i="41"/>
  <c r="Q57" i="41"/>
  <c r="N156" i="41"/>
  <c r="Q66" i="41"/>
  <c r="Q72" i="41" s="1"/>
  <c r="O66" i="41"/>
  <c r="S66" i="41"/>
  <c r="L73" i="41"/>
  <c r="P85" i="41"/>
  <c r="I126" i="41"/>
  <c r="I128" i="41" s="1"/>
  <c r="L71" i="41"/>
  <c r="S126" i="41"/>
  <c r="S128" i="41" s="1"/>
  <c r="L72" i="41"/>
  <c r="M72" i="41" s="1"/>
  <c r="K65" i="41"/>
  <c r="I67" i="41"/>
  <c r="I73" i="41" s="1"/>
  <c r="L70" i="41"/>
  <c r="M70" i="41" s="1"/>
  <c r="N73" i="41"/>
  <c r="R85" i="41"/>
  <c r="I66" i="41"/>
  <c r="I72" i="41" s="1"/>
  <c r="I66" i="42"/>
  <c r="I72" i="42" s="1"/>
  <c r="E12" i="43"/>
  <c r="R156" i="41"/>
  <c r="R123" i="41"/>
  <c r="S123" i="41" s="1"/>
  <c r="R73" i="41"/>
  <c r="S73" i="41" s="1"/>
  <c r="R71" i="41"/>
  <c r="R39" i="41"/>
  <c r="R37" i="41"/>
  <c r="R38" i="41" s="1"/>
  <c r="H139" i="41"/>
  <c r="O65" i="41"/>
  <c r="M65" i="41"/>
  <c r="M71" i="41" s="1"/>
  <c r="Q126" i="41"/>
  <c r="Q128" i="41" s="1"/>
  <c r="O126" i="41"/>
  <c r="M126" i="41"/>
  <c r="M128" i="41" s="1"/>
  <c r="I126" i="42"/>
  <c r="K126" i="41"/>
  <c r="I24" i="41"/>
  <c r="H64" i="41"/>
  <c r="S65" i="41"/>
  <c r="H138" i="41"/>
  <c r="H138" i="42"/>
  <c r="H59" i="42"/>
  <c r="I57" i="42" s="1"/>
  <c r="H59" i="41"/>
  <c r="S61" i="41"/>
  <c r="N71" i="41"/>
  <c r="H62" i="42"/>
  <c r="I61" i="42" s="1"/>
  <c r="H62" i="41"/>
  <c r="H85" i="42"/>
  <c r="H83" i="42"/>
  <c r="N85" i="41"/>
  <c r="P83" i="41"/>
  <c r="H83" i="41"/>
  <c r="J156" i="41"/>
  <c r="J123" i="41"/>
  <c r="K123" i="41" s="1"/>
  <c r="E8" i="43"/>
  <c r="J73" i="41"/>
  <c r="J71" i="41"/>
  <c r="J39" i="41"/>
  <c r="J37" i="41"/>
  <c r="J38" i="41" s="1"/>
  <c r="H58" i="41"/>
  <c r="R72" i="41"/>
  <c r="J85" i="41"/>
  <c r="L156" i="41"/>
  <c r="E9" i="43"/>
  <c r="L123" i="41"/>
  <c r="M123" i="41" s="1"/>
  <c r="L39" i="41"/>
  <c r="L33" i="41" s="1"/>
  <c r="L40" i="41" s="1"/>
  <c r="K72" i="41"/>
  <c r="R70" i="41"/>
  <c r="P88" i="41"/>
  <c r="H88" i="41"/>
  <c r="N88" i="41"/>
  <c r="H88" i="42"/>
  <c r="L88" i="41"/>
  <c r="E11" i="43"/>
  <c r="P156" i="41"/>
  <c r="H46" i="41"/>
  <c r="P46" i="41"/>
  <c r="L47" i="41"/>
  <c r="H48" i="41"/>
  <c r="P48" i="41"/>
  <c r="L49" i="41"/>
  <c r="H50" i="41"/>
  <c r="P50" i="41"/>
  <c r="L51" i="41"/>
  <c r="H52" i="41"/>
  <c r="P52" i="41"/>
  <c r="K67" i="41"/>
  <c r="H52" i="42"/>
  <c r="H48" i="42"/>
  <c r="R142" i="41"/>
  <c r="J142" i="41"/>
  <c r="N141" i="41"/>
  <c r="H51" i="42"/>
  <c r="H47" i="42"/>
  <c r="P142" i="41"/>
  <c r="H142" i="41"/>
  <c r="L141" i="41"/>
  <c r="H142" i="42"/>
  <c r="H50" i="42"/>
  <c r="H46" i="42"/>
  <c r="N142" i="41"/>
  <c r="R141" i="41"/>
  <c r="J141" i="41"/>
  <c r="H141" i="42"/>
  <c r="H53" i="42"/>
  <c r="H49" i="42"/>
  <c r="N108" i="41"/>
  <c r="L108" i="41"/>
  <c r="R108" i="41"/>
  <c r="J108" i="41"/>
  <c r="H108" i="42"/>
  <c r="Q67" i="41"/>
  <c r="H143" i="41"/>
  <c r="I24" i="42"/>
  <c r="I29" i="42" s="1"/>
  <c r="E7" i="43"/>
  <c r="H156" i="41"/>
  <c r="L46" i="41"/>
  <c r="H47" i="41"/>
  <c r="P47" i="41"/>
  <c r="L48" i="41"/>
  <c r="H49" i="41"/>
  <c r="P49" i="41"/>
  <c r="L50" i="41"/>
  <c r="H51" i="41"/>
  <c r="P51" i="41"/>
  <c r="L52" i="41"/>
  <c r="H53" i="41"/>
  <c r="P53" i="41"/>
  <c r="R88" i="41"/>
  <c r="E13" i="43"/>
  <c r="H73" i="42"/>
  <c r="I73" i="42" s="1"/>
  <c r="H39" i="42"/>
  <c r="H33" i="42" s="1"/>
  <c r="H40" i="42" s="1"/>
  <c r="H70" i="42"/>
  <c r="H71" i="42"/>
  <c r="I71" i="42" s="1"/>
  <c r="I71" i="41" l="1"/>
  <c r="K73" i="41"/>
  <c r="I57" i="41"/>
  <c r="Q73" i="41"/>
  <c r="Q74" i="41" s="1"/>
  <c r="Q79" i="41" s="1"/>
  <c r="O72" i="41"/>
  <c r="K68" i="41"/>
  <c r="K70" i="41"/>
  <c r="M73" i="41"/>
  <c r="M74" i="41" s="1"/>
  <c r="M79" i="41" s="1"/>
  <c r="J54" i="41"/>
  <c r="J87" i="41" s="1"/>
  <c r="N54" i="41"/>
  <c r="N87" i="41" s="1"/>
  <c r="R54" i="41"/>
  <c r="R87" i="41" s="1"/>
  <c r="I41" i="42"/>
  <c r="I36" i="42"/>
  <c r="I32" i="42"/>
  <c r="I130" i="42"/>
  <c r="I39" i="42"/>
  <c r="I35" i="42"/>
  <c r="I38" i="42"/>
  <c r="I34" i="42"/>
  <c r="I147" i="42"/>
  <c r="I90" i="42"/>
  <c r="I37" i="42"/>
  <c r="S69" i="41"/>
  <c r="S70" i="41"/>
  <c r="S68" i="41"/>
  <c r="N38" i="41"/>
  <c r="H54" i="42"/>
  <c r="H87" i="42" s="1"/>
  <c r="N140" i="41"/>
  <c r="J33" i="41"/>
  <c r="J40" i="41" s="1"/>
  <c r="S71" i="41"/>
  <c r="O71" i="41"/>
  <c r="S72" i="41"/>
  <c r="I69" i="42"/>
  <c r="I68" i="42"/>
  <c r="I70" i="42"/>
  <c r="L54" i="41"/>
  <c r="L87" i="41" s="1"/>
  <c r="R33" i="41"/>
  <c r="R40" i="41" s="1"/>
  <c r="I128" i="42"/>
  <c r="K71" i="41"/>
  <c r="E14" i="43"/>
  <c r="L140" i="41"/>
  <c r="P54" i="41"/>
  <c r="P87" i="41" s="1"/>
  <c r="H140" i="42"/>
  <c r="H54" i="41"/>
  <c r="H87" i="41" s="1"/>
  <c r="P140" i="41"/>
  <c r="I61" i="41"/>
  <c r="K128" i="41"/>
  <c r="O70" i="41"/>
  <c r="O68" i="41"/>
  <c r="O69" i="41"/>
  <c r="J140" i="41"/>
  <c r="R140" i="41"/>
  <c r="H140" i="41"/>
  <c r="O128" i="41"/>
  <c r="I74" i="42" l="1"/>
  <c r="I79" i="42" s="1"/>
  <c r="K74" i="41"/>
  <c r="K79" i="41" s="1"/>
  <c r="S74" i="41"/>
  <c r="S79" i="41" s="1"/>
  <c r="O74" i="41"/>
  <c r="O79" i="41" s="1"/>
  <c r="N33" i="41"/>
  <c r="N40" i="41" s="1"/>
  <c r="I33" i="42"/>
  <c r="I40" i="42" s="1"/>
  <c r="I68" i="41"/>
  <c r="I70" i="41"/>
  <c r="I69" i="41"/>
  <c r="I74" i="41" l="1"/>
  <c r="I79" i="41" s="1"/>
  <c r="I42" i="42"/>
  <c r="I43" i="42" s="1"/>
  <c r="I77" i="42"/>
  <c r="I86" i="42" l="1"/>
  <c r="I87" i="42" s="1"/>
  <c r="I52" i="42"/>
  <c r="I48" i="42"/>
  <c r="I88" i="42"/>
  <c r="I50" i="42"/>
  <c r="I46" i="42"/>
  <c r="I53" i="42"/>
  <c r="I49" i="42"/>
  <c r="I51" i="42"/>
  <c r="I47" i="42"/>
  <c r="I85" i="42"/>
  <c r="I83" i="42"/>
  <c r="I84" i="42" l="1"/>
  <c r="I89" i="42" s="1"/>
  <c r="I54" i="42"/>
  <c r="I78" i="42" s="1"/>
  <c r="I80" i="42" s="1"/>
  <c r="I132" i="42" l="1"/>
  <c r="I92" i="42"/>
  <c r="I149" i="42"/>
  <c r="I131" i="42"/>
  <c r="I91" i="42"/>
  <c r="I148" i="42"/>
  <c r="I93" i="42" l="1"/>
  <c r="I108" i="42" s="1"/>
  <c r="I116" i="38" l="1"/>
  <c r="I112" i="38"/>
  <c r="H86" i="38"/>
  <c r="H69" i="38"/>
  <c r="H68" i="38"/>
  <c r="B67" i="38"/>
  <c r="B66" i="38"/>
  <c r="B65" i="38"/>
  <c r="H36" i="38"/>
  <c r="H35" i="38"/>
  <c r="H34" i="38"/>
  <c r="H32" i="38"/>
  <c r="H20" i="38"/>
  <c r="H19" i="38"/>
  <c r="H18" i="38"/>
  <c r="H15" i="38"/>
  <c r="H14" i="38"/>
  <c r="H11" i="38"/>
  <c r="H37" i="38" s="1"/>
  <c r="H38" i="38" s="1"/>
  <c r="H10" i="38"/>
  <c r="H8" i="38"/>
  <c r="D13" i="39" s="1"/>
  <c r="H7" i="38"/>
  <c r="M116" i="37"/>
  <c r="I116" i="37"/>
  <c r="S112" i="37"/>
  <c r="S116" i="37" s="1"/>
  <c r="Q112" i="37"/>
  <c r="Q116" i="37" s="1"/>
  <c r="O112" i="37"/>
  <c r="O116" i="37" s="1"/>
  <c r="M112" i="37"/>
  <c r="K112" i="37"/>
  <c r="K116" i="37" s="1"/>
  <c r="I112" i="37"/>
  <c r="R86" i="37"/>
  <c r="P86" i="37"/>
  <c r="N86" i="37"/>
  <c r="L86" i="37"/>
  <c r="J86" i="37"/>
  <c r="H86" i="37"/>
  <c r="P70" i="37"/>
  <c r="R69" i="37"/>
  <c r="P69" i="37"/>
  <c r="N69" i="37"/>
  <c r="L69" i="37"/>
  <c r="J69" i="37"/>
  <c r="H69" i="37"/>
  <c r="R68" i="37"/>
  <c r="P68" i="37"/>
  <c r="N68" i="37"/>
  <c r="L68" i="37"/>
  <c r="J68" i="37"/>
  <c r="H68" i="37"/>
  <c r="B67" i="37"/>
  <c r="B66" i="37"/>
  <c r="B65" i="37"/>
  <c r="P39" i="37"/>
  <c r="P37" i="37"/>
  <c r="P38" i="37" s="1"/>
  <c r="R36" i="37"/>
  <c r="P36" i="37"/>
  <c r="N36" i="37"/>
  <c r="L36" i="37"/>
  <c r="J36" i="37"/>
  <c r="H36" i="37"/>
  <c r="R35" i="37"/>
  <c r="P35" i="37"/>
  <c r="N35" i="37"/>
  <c r="L35" i="37"/>
  <c r="J35" i="37"/>
  <c r="H35" i="37"/>
  <c r="R34" i="37"/>
  <c r="P34" i="37"/>
  <c r="N34" i="37"/>
  <c r="L34" i="37"/>
  <c r="J34" i="37"/>
  <c r="H34" i="37"/>
  <c r="R32" i="37"/>
  <c r="P32" i="37"/>
  <c r="N32" i="37"/>
  <c r="L32" i="37"/>
  <c r="J32" i="37"/>
  <c r="H32" i="37"/>
  <c r="R20" i="37"/>
  <c r="P20" i="37"/>
  <c r="N20" i="37"/>
  <c r="L20" i="37"/>
  <c r="J20" i="37"/>
  <c r="H20" i="37"/>
  <c r="R19" i="37"/>
  <c r="P19" i="37"/>
  <c r="N19" i="37"/>
  <c r="L19" i="37"/>
  <c r="J19" i="37"/>
  <c r="H19" i="37"/>
  <c r="R18" i="37"/>
  <c r="P18" i="37"/>
  <c r="N18" i="37"/>
  <c r="L18" i="37"/>
  <c r="J18" i="37"/>
  <c r="H18" i="37"/>
  <c r="R15" i="37"/>
  <c r="P15" i="37"/>
  <c r="N15" i="37"/>
  <c r="L15" i="37"/>
  <c r="J15" i="37"/>
  <c r="H15" i="37"/>
  <c r="R14" i="37"/>
  <c r="P14" i="37"/>
  <c r="N14" i="37"/>
  <c r="L14" i="37"/>
  <c r="J14" i="37"/>
  <c r="H14" i="37"/>
  <c r="R11" i="37"/>
  <c r="R37" i="37" s="1"/>
  <c r="R38" i="37" s="1"/>
  <c r="P11" i="37"/>
  <c r="P73" i="37" s="1"/>
  <c r="N11" i="37"/>
  <c r="N37" i="37" s="1"/>
  <c r="N38" i="37" s="1"/>
  <c r="L11" i="37"/>
  <c r="J11" i="37"/>
  <c r="H11" i="37"/>
  <c r="H73" i="37" s="1"/>
  <c r="R10" i="37"/>
  <c r="P10" i="37"/>
  <c r="N10" i="37"/>
  <c r="L10" i="37"/>
  <c r="J10" i="37"/>
  <c r="H10" i="37"/>
  <c r="R8" i="37"/>
  <c r="D12" i="39" s="1"/>
  <c r="P8" i="37"/>
  <c r="D11" i="39" s="1"/>
  <c r="N8" i="37"/>
  <c r="D10" i="39" s="1"/>
  <c r="L8" i="37"/>
  <c r="D9" i="39" s="1"/>
  <c r="J8" i="37"/>
  <c r="D8" i="39" s="1"/>
  <c r="H8" i="37"/>
  <c r="D7" i="39" s="1"/>
  <c r="R7" i="37"/>
  <c r="P7" i="37"/>
  <c r="N7" i="37"/>
  <c r="L7" i="37"/>
  <c r="J7" i="37"/>
  <c r="H7" i="37"/>
  <c r="L108" i="37"/>
  <c r="N53" i="37"/>
  <c r="H17" i="38"/>
  <c r="I23" i="38" s="1"/>
  <c r="R143" i="37"/>
  <c r="R139" i="37"/>
  <c r="R138" i="37"/>
  <c r="R58" i="37"/>
  <c r="R59" i="37"/>
  <c r="R64" i="37"/>
  <c r="R62" i="37"/>
  <c r="R17" i="37"/>
  <c r="S23" i="37" s="1"/>
  <c r="R16" i="37"/>
  <c r="R9" i="37"/>
  <c r="P143" i="37"/>
  <c r="P139" i="37"/>
  <c r="P138" i="37"/>
  <c r="P58" i="37"/>
  <c r="P59" i="37"/>
  <c r="P64" i="37"/>
  <c r="P62" i="37"/>
  <c r="P17" i="37"/>
  <c r="Q23" i="37" s="1"/>
  <c r="P16" i="37"/>
  <c r="P9" i="37"/>
  <c r="N143" i="37"/>
  <c r="N139" i="37"/>
  <c r="N138" i="37"/>
  <c r="N58" i="37"/>
  <c r="N59" i="37"/>
  <c r="N64" i="37"/>
  <c r="N62" i="37"/>
  <c r="N17" i="37"/>
  <c r="O23" i="37" s="1"/>
  <c r="N16" i="37"/>
  <c r="N9" i="37"/>
  <c r="L143" i="37"/>
  <c r="L139" i="37"/>
  <c r="L138" i="37"/>
  <c r="L58" i="37"/>
  <c r="L59" i="37"/>
  <c r="L64" i="37"/>
  <c r="L62" i="37"/>
  <c r="L17" i="37"/>
  <c r="M23" i="37" s="1"/>
  <c r="L16" i="37"/>
  <c r="L9" i="37"/>
  <c r="J143" i="37"/>
  <c r="J139" i="37"/>
  <c r="J138" i="37"/>
  <c r="J58" i="37"/>
  <c r="J59" i="37"/>
  <c r="J64" i="37"/>
  <c r="M66" i="37"/>
  <c r="J62" i="37"/>
  <c r="J17" i="37"/>
  <c r="K23" i="37" s="1"/>
  <c r="J16" i="37"/>
  <c r="J9" i="37"/>
  <c r="H58" i="38"/>
  <c r="H64" i="38"/>
  <c r="I65" i="38"/>
  <c r="H17" i="37"/>
  <c r="I23" i="37" s="1"/>
  <c r="H16" i="38"/>
  <c r="H9" i="38"/>
  <c r="H17" i="5"/>
  <c r="P33" i="37" l="1"/>
  <c r="P40" i="37" s="1"/>
  <c r="H39" i="37"/>
  <c r="S61" i="37"/>
  <c r="R47" i="37"/>
  <c r="J53" i="37"/>
  <c r="K61" i="37"/>
  <c r="N48" i="37"/>
  <c r="R53" i="37"/>
  <c r="J49" i="37"/>
  <c r="M61" i="37"/>
  <c r="R49" i="37"/>
  <c r="N50" i="37"/>
  <c r="Q61" i="37"/>
  <c r="J51" i="37"/>
  <c r="N46" i="37"/>
  <c r="R51" i="37"/>
  <c r="J47" i="37"/>
  <c r="N52" i="37"/>
  <c r="S24" i="37"/>
  <c r="S126" i="37"/>
  <c r="I126" i="38"/>
  <c r="K126" i="37"/>
  <c r="K128" i="37" s="1"/>
  <c r="I126" i="37"/>
  <c r="I128" i="37" s="1"/>
  <c r="Q126" i="37"/>
  <c r="Q128" i="37" s="1"/>
  <c r="O126" i="37"/>
  <c r="O128" i="37" s="1"/>
  <c r="M126" i="37"/>
  <c r="M128" i="37" s="1"/>
  <c r="K68" i="37"/>
  <c r="K69" i="37"/>
  <c r="M69" i="37"/>
  <c r="M68" i="37"/>
  <c r="O24" i="37"/>
  <c r="O57" i="37"/>
  <c r="I24" i="37"/>
  <c r="M57" i="37"/>
  <c r="O61" i="37"/>
  <c r="Q24" i="37"/>
  <c r="Q57" i="37"/>
  <c r="K57" i="37"/>
  <c r="S68" i="37"/>
  <c r="S69" i="37"/>
  <c r="K24" i="37"/>
  <c r="Q69" i="37"/>
  <c r="Q70" i="37"/>
  <c r="Q68" i="37"/>
  <c r="S57" i="37"/>
  <c r="M24" i="37"/>
  <c r="O65" i="37"/>
  <c r="M65" i="37"/>
  <c r="E8" i="39"/>
  <c r="J39" i="37"/>
  <c r="J123" i="37"/>
  <c r="J72" i="37"/>
  <c r="J70" i="37"/>
  <c r="K70" i="37" s="1"/>
  <c r="J156" i="37"/>
  <c r="J73" i="37"/>
  <c r="J71" i="37"/>
  <c r="E9" i="39"/>
  <c r="L156" i="37"/>
  <c r="H62" i="38"/>
  <c r="I61" i="38" s="1"/>
  <c r="H62" i="37"/>
  <c r="H85" i="38"/>
  <c r="H83" i="38"/>
  <c r="R85" i="37"/>
  <c r="J85" i="37"/>
  <c r="L83" i="37"/>
  <c r="N85" i="37"/>
  <c r="P83" i="37"/>
  <c r="H83" i="37"/>
  <c r="E10" i="39"/>
  <c r="N156" i="37"/>
  <c r="N123" i="37"/>
  <c r="N73" i="37"/>
  <c r="N71" i="37"/>
  <c r="N39" i="37"/>
  <c r="N33" i="37" s="1"/>
  <c r="N40" i="37" s="1"/>
  <c r="N72" i="37"/>
  <c r="N70" i="37"/>
  <c r="L39" i="37"/>
  <c r="R46" i="37"/>
  <c r="J48" i="37"/>
  <c r="N49" i="37"/>
  <c r="R50" i="37"/>
  <c r="J52" i="37"/>
  <c r="H64" i="37"/>
  <c r="H16" i="37"/>
  <c r="I71" i="38"/>
  <c r="H88" i="38"/>
  <c r="R88" i="37"/>
  <c r="J88" i="37"/>
  <c r="P88" i="37"/>
  <c r="N88" i="37"/>
  <c r="L88" i="37"/>
  <c r="H9" i="37"/>
  <c r="E11" i="39"/>
  <c r="P123" i="37"/>
  <c r="P156" i="37"/>
  <c r="J37" i="37"/>
  <c r="J38" i="37" s="1"/>
  <c r="K66" i="37"/>
  <c r="H70" i="37"/>
  <c r="L71" i="37"/>
  <c r="P72" i="37"/>
  <c r="J83" i="37"/>
  <c r="H85" i="37"/>
  <c r="H156" i="37"/>
  <c r="H138" i="38"/>
  <c r="H138" i="37"/>
  <c r="E12" i="39"/>
  <c r="R156" i="37"/>
  <c r="R39" i="37"/>
  <c r="R33" i="37" s="1"/>
  <c r="R40" i="37" s="1"/>
  <c r="R72" i="37"/>
  <c r="R70" i="37"/>
  <c r="S70" i="37" s="1"/>
  <c r="R123" i="37"/>
  <c r="R73" i="37"/>
  <c r="R71" i="37"/>
  <c r="I67" i="38"/>
  <c r="I67" i="37"/>
  <c r="I73" i="37" s="1"/>
  <c r="H139" i="38"/>
  <c r="H139" i="37"/>
  <c r="Q66" i="37"/>
  <c r="O66" i="37"/>
  <c r="O72" i="37" s="1"/>
  <c r="L37" i="37"/>
  <c r="L38" i="37" s="1"/>
  <c r="S66" i="37"/>
  <c r="L70" i="37"/>
  <c r="M70" i="37" s="1"/>
  <c r="P71" i="37"/>
  <c r="N83" i="37"/>
  <c r="L85" i="37"/>
  <c r="H88" i="37"/>
  <c r="L123" i="37"/>
  <c r="H143" i="38"/>
  <c r="H143" i="37"/>
  <c r="K67" i="37"/>
  <c r="K73" i="37" s="1"/>
  <c r="S67" i="37"/>
  <c r="S73" i="37" s="1"/>
  <c r="Q67" i="37"/>
  <c r="Q73" i="37" s="1"/>
  <c r="H142" i="38"/>
  <c r="H141" i="38"/>
  <c r="H53" i="38"/>
  <c r="H49" i="38"/>
  <c r="L142" i="37"/>
  <c r="P141" i="37"/>
  <c r="H141" i="37"/>
  <c r="J142" i="37"/>
  <c r="J141" i="37"/>
  <c r="H52" i="38"/>
  <c r="H51" i="38"/>
  <c r="L53" i="37"/>
  <c r="P52" i="37"/>
  <c r="H52" i="37"/>
  <c r="L51" i="37"/>
  <c r="P50" i="37"/>
  <c r="H50" i="37"/>
  <c r="L49" i="37"/>
  <c r="P48" i="37"/>
  <c r="H48" i="37"/>
  <c r="L47" i="37"/>
  <c r="P46" i="37"/>
  <c r="H46" i="37"/>
  <c r="H50" i="38"/>
  <c r="R142" i="37"/>
  <c r="R141" i="37"/>
  <c r="P142" i="37"/>
  <c r="H48" i="38"/>
  <c r="H47" i="38"/>
  <c r="N142" i="37"/>
  <c r="L141" i="37"/>
  <c r="P53" i="37"/>
  <c r="H53" i="37"/>
  <c r="L52" i="37"/>
  <c r="P51" i="37"/>
  <c r="H51" i="37"/>
  <c r="L50" i="37"/>
  <c r="P49" i="37"/>
  <c r="H49" i="37"/>
  <c r="L48" i="37"/>
  <c r="P47" i="37"/>
  <c r="H47" i="37"/>
  <c r="L46" i="37"/>
  <c r="H46" i="38"/>
  <c r="H108" i="38"/>
  <c r="P108" i="37"/>
  <c r="H108" i="37"/>
  <c r="N108" i="37"/>
  <c r="J108" i="37"/>
  <c r="R108" i="37"/>
  <c r="J46" i="37"/>
  <c r="N47" i="37"/>
  <c r="R48" i="37"/>
  <c r="J50" i="37"/>
  <c r="N51" i="37"/>
  <c r="R52" i="37"/>
  <c r="H58" i="37"/>
  <c r="I65" i="37"/>
  <c r="I24" i="38"/>
  <c r="I29" i="38" s="1"/>
  <c r="E7" i="39"/>
  <c r="H123" i="37"/>
  <c r="K65" i="37"/>
  <c r="M67" i="37"/>
  <c r="H72" i="37"/>
  <c r="L73" i="37"/>
  <c r="R83" i="37"/>
  <c r="P85" i="37"/>
  <c r="I66" i="38"/>
  <c r="I66" i="37"/>
  <c r="H59" i="38"/>
  <c r="I57" i="38" s="1"/>
  <c r="H59" i="37"/>
  <c r="Q65" i="37"/>
  <c r="O67" i="37"/>
  <c r="O73" i="37" s="1"/>
  <c r="N141" i="37"/>
  <c r="H37" i="37"/>
  <c r="S65" i="37"/>
  <c r="H71" i="37"/>
  <c r="L72" i="37"/>
  <c r="M72" i="37" s="1"/>
  <c r="H142" i="37"/>
  <c r="H71" i="38"/>
  <c r="H123" i="38"/>
  <c r="H70" i="38"/>
  <c r="H39" i="38"/>
  <c r="H33" i="38" s="1"/>
  <c r="H40" i="38" s="1"/>
  <c r="H73" i="38"/>
  <c r="E13" i="39"/>
  <c r="H156" i="38"/>
  <c r="H72" i="38"/>
  <c r="I23" i="5"/>
  <c r="I112" i="32"/>
  <c r="I116" i="32" s="1"/>
  <c r="H86" i="32"/>
  <c r="H69" i="32"/>
  <c r="H68" i="32"/>
  <c r="B67" i="32"/>
  <c r="B66" i="32"/>
  <c r="B65" i="32"/>
  <c r="H36" i="32"/>
  <c r="H35" i="32"/>
  <c r="H34" i="32"/>
  <c r="H32" i="32"/>
  <c r="B67" i="31"/>
  <c r="B66" i="31"/>
  <c r="B65" i="31"/>
  <c r="S71" i="37" l="1"/>
  <c r="I72" i="38"/>
  <c r="N54" i="37"/>
  <c r="N87" i="37" s="1"/>
  <c r="M71" i="37"/>
  <c r="I72" i="37"/>
  <c r="S72" i="37"/>
  <c r="Q72" i="37"/>
  <c r="R54" i="37"/>
  <c r="R87" i="37" s="1"/>
  <c r="Q71" i="37"/>
  <c r="I70" i="38"/>
  <c r="I69" i="38"/>
  <c r="I68" i="38"/>
  <c r="J54" i="37"/>
  <c r="J87" i="37" s="1"/>
  <c r="J140" i="37"/>
  <c r="L33" i="37"/>
  <c r="L40" i="37" s="1"/>
  <c r="O69" i="37"/>
  <c r="O74" i="37" s="1"/>
  <c r="O79" i="37" s="1"/>
  <c r="O70" i="37"/>
  <c r="O68" i="37"/>
  <c r="I128" i="38"/>
  <c r="H38" i="37"/>
  <c r="H33" i="37" s="1"/>
  <c r="H40" i="37" s="1"/>
  <c r="H140" i="38"/>
  <c r="I71" i="37"/>
  <c r="I57" i="37"/>
  <c r="L140" i="37"/>
  <c r="H54" i="37"/>
  <c r="H87" i="37" s="1"/>
  <c r="H140" i="37"/>
  <c r="I73" i="38"/>
  <c r="I123" i="38"/>
  <c r="M123" i="37"/>
  <c r="I121" i="38"/>
  <c r="Q123" i="37"/>
  <c r="I123" i="37"/>
  <c r="O121" i="37"/>
  <c r="M121" i="37"/>
  <c r="K123" i="37"/>
  <c r="S121" i="37"/>
  <c r="K121" i="37"/>
  <c r="O123" i="37"/>
  <c r="I121" i="37"/>
  <c r="S123" i="37"/>
  <c r="Q121" i="37"/>
  <c r="I130" i="38"/>
  <c r="I90" i="38"/>
  <c r="I147" i="38"/>
  <c r="I37" i="38"/>
  <c r="I41" i="38"/>
  <c r="I34" i="38"/>
  <c r="I39" i="38"/>
  <c r="I38" i="38"/>
  <c r="I32" i="38"/>
  <c r="I36" i="38"/>
  <c r="I35" i="38"/>
  <c r="R140" i="37"/>
  <c r="M73" i="37"/>
  <c r="N140" i="37"/>
  <c r="K71" i="37"/>
  <c r="P54" i="37"/>
  <c r="P87" i="37" s="1"/>
  <c r="P140" i="37"/>
  <c r="K72" i="37"/>
  <c r="S74" i="37"/>
  <c r="S79" i="37" s="1"/>
  <c r="J33" i="37"/>
  <c r="J40" i="37" s="1"/>
  <c r="M74" i="37"/>
  <c r="M79" i="37" s="1"/>
  <c r="Q74" i="37"/>
  <c r="Q79" i="37" s="1"/>
  <c r="H54" i="38"/>
  <c r="H87" i="38" s="1"/>
  <c r="E14" i="39"/>
  <c r="L54" i="37"/>
  <c r="L87" i="37" s="1"/>
  <c r="I61" i="37"/>
  <c r="O71" i="37"/>
  <c r="S128" i="37"/>
  <c r="R86" i="31"/>
  <c r="P86" i="31"/>
  <c r="N86" i="31"/>
  <c r="L86" i="31"/>
  <c r="J86" i="31"/>
  <c r="R69" i="31"/>
  <c r="P69" i="31"/>
  <c r="N69" i="31"/>
  <c r="L69" i="31"/>
  <c r="J69" i="31"/>
  <c r="R68" i="31"/>
  <c r="P68" i="31"/>
  <c r="N68" i="31"/>
  <c r="L68" i="31"/>
  <c r="J68" i="31"/>
  <c r="R36" i="31"/>
  <c r="P36" i="31"/>
  <c r="N36" i="31"/>
  <c r="L36" i="31"/>
  <c r="J36" i="31"/>
  <c r="R35" i="31"/>
  <c r="P35" i="31"/>
  <c r="N35" i="31"/>
  <c r="L35" i="31"/>
  <c r="J35" i="31"/>
  <c r="R34" i="31"/>
  <c r="P34" i="31"/>
  <c r="N34" i="31"/>
  <c r="L34" i="31"/>
  <c r="J34" i="31"/>
  <c r="R32" i="31"/>
  <c r="P32" i="31"/>
  <c r="N32" i="31"/>
  <c r="L32" i="31"/>
  <c r="J32" i="31"/>
  <c r="I116" i="31"/>
  <c r="I112" i="31"/>
  <c r="H86" i="31"/>
  <c r="H69" i="31"/>
  <c r="H68" i="31"/>
  <c r="H36" i="31"/>
  <c r="H35" i="31"/>
  <c r="H34" i="31"/>
  <c r="H32" i="31"/>
  <c r="I112" i="16"/>
  <c r="I116" i="16" s="1"/>
  <c r="H88" i="16"/>
  <c r="H86" i="16"/>
  <c r="H85" i="16"/>
  <c r="H83" i="16"/>
  <c r="H73" i="16"/>
  <c r="H72" i="16"/>
  <c r="H68" i="16"/>
  <c r="I67" i="16"/>
  <c r="B67" i="16"/>
  <c r="I66" i="16"/>
  <c r="I72" i="16" s="1"/>
  <c r="B66" i="16"/>
  <c r="I65" i="16"/>
  <c r="B65" i="16"/>
  <c r="H64" i="16"/>
  <c r="H62" i="16"/>
  <c r="H59" i="16"/>
  <c r="H58" i="16"/>
  <c r="H35" i="16"/>
  <c r="H34" i="16"/>
  <c r="H32" i="16"/>
  <c r="R88" i="15"/>
  <c r="P88" i="15"/>
  <c r="N88" i="15"/>
  <c r="L88" i="15"/>
  <c r="J88" i="15"/>
  <c r="R86" i="15"/>
  <c r="P86" i="15"/>
  <c r="N86" i="15"/>
  <c r="L86" i="15"/>
  <c r="J86" i="15"/>
  <c r="R85" i="15"/>
  <c r="P85" i="15"/>
  <c r="N85" i="15"/>
  <c r="L85" i="15"/>
  <c r="J85" i="15"/>
  <c r="R83" i="15"/>
  <c r="P83" i="15"/>
  <c r="N83" i="15"/>
  <c r="L83" i="15"/>
  <c r="J83" i="15"/>
  <c r="R73" i="15"/>
  <c r="P73" i="15"/>
  <c r="N73" i="15"/>
  <c r="L73" i="15"/>
  <c r="J73" i="15"/>
  <c r="R72" i="15"/>
  <c r="P72" i="15"/>
  <c r="N72" i="15"/>
  <c r="L72" i="15"/>
  <c r="J72" i="15"/>
  <c r="R68" i="15"/>
  <c r="P68" i="15"/>
  <c r="N68" i="15"/>
  <c r="L68" i="15"/>
  <c r="J68" i="15"/>
  <c r="R35" i="15"/>
  <c r="P35" i="15"/>
  <c r="N35" i="15"/>
  <c r="L35" i="15"/>
  <c r="J35" i="15"/>
  <c r="R34" i="15"/>
  <c r="P34" i="15"/>
  <c r="N34" i="15"/>
  <c r="L34" i="15"/>
  <c r="J34" i="15"/>
  <c r="R32" i="15"/>
  <c r="P32" i="15"/>
  <c r="N32" i="15"/>
  <c r="L32" i="15"/>
  <c r="J32" i="15"/>
  <c r="I112" i="15"/>
  <c r="I116" i="15" s="1"/>
  <c r="H88" i="15"/>
  <c r="H86" i="15"/>
  <c r="H85" i="15"/>
  <c r="H83" i="15"/>
  <c r="H73" i="15"/>
  <c r="H72" i="15"/>
  <c r="H68" i="15"/>
  <c r="I67" i="15"/>
  <c r="I73" i="15" s="1"/>
  <c r="B67" i="15"/>
  <c r="I66" i="15"/>
  <c r="I72" i="15" s="1"/>
  <c r="B66" i="15"/>
  <c r="I65" i="15"/>
  <c r="B65" i="15"/>
  <c r="H64" i="15"/>
  <c r="H62" i="15"/>
  <c r="H59" i="15"/>
  <c r="H58" i="15"/>
  <c r="H35" i="15"/>
  <c r="H34" i="15"/>
  <c r="H32" i="15"/>
  <c r="I112" i="5"/>
  <c r="I116" i="5" s="1"/>
  <c r="H108" i="5"/>
  <c r="H88" i="5"/>
  <c r="H86" i="5"/>
  <c r="H85" i="5"/>
  <c r="H83" i="5"/>
  <c r="H68" i="5"/>
  <c r="I67" i="5"/>
  <c r="I73" i="5" s="1"/>
  <c r="B67" i="5"/>
  <c r="I66" i="5"/>
  <c r="I72" i="5" s="1"/>
  <c r="B66" i="5"/>
  <c r="I65" i="5"/>
  <c r="I71" i="5" s="1"/>
  <c r="B65" i="5"/>
  <c r="H64" i="5"/>
  <c r="H62" i="5"/>
  <c r="H59" i="5"/>
  <c r="H58" i="5"/>
  <c r="I57" i="5" s="1"/>
  <c r="H53" i="5"/>
  <c r="H52" i="5"/>
  <c r="H51" i="5"/>
  <c r="H50" i="5"/>
  <c r="H49" i="5"/>
  <c r="H48" i="5"/>
  <c r="H47" i="5"/>
  <c r="H46" i="5"/>
  <c r="H35" i="5"/>
  <c r="H34" i="5"/>
  <c r="H33" i="5" s="1"/>
  <c r="H32" i="5"/>
  <c r="R88" i="4"/>
  <c r="P88" i="4"/>
  <c r="N88" i="4"/>
  <c r="L88" i="4"/>
  <c r="J88" i="4"/>
  <c r="R86" i="4"/>
  <c r="P86" i="4"/>
  <c r="N86" i="4"/>
  <c r="L86" i="4"/>
  <c r="J86" i="4"/>
  <c r="R85" i="4"/>
  <c r="P85" i="4"/>
  <c r="N85" i="4"/>
  <c r="L85" i="4"/>
  <c r="J85" i="4"/>
  <c r="R83" i="4"/>
  <c r="P83" i="4"/>
  <c r="N83" i="4"/>
  <c r="L83" i="4"/>
  <c r="J83" i="4"/>
  <c r="H88" i="4"/>
  <c r="H86" i="4"/>
  <c r="H85" i="4"/>
  <c r="H83" i="4"/>
  <c r="R68" i="4"/>
  <c r="P68" i="4"/>
  <c r="N68" i="4"/>
  <c r="L68" i="4"/>
  <c r="J68" i="4"/>
  <c r="H68" i="4"/>
  <c r="R35" i="4"/>
  <c r="P35" i="4"/>
  <c r="N35" i="4"/>
  <c r="N33" i="4" s="1"/>
  <c r="L35" i="4"/>
  <c r="J35" i="4"/>
  <c r="R34" i="4"/>
  <c r="P34" i="4"/>
  <c r="P33" i="4" s="1"/>
  <c r="N34" i="4"/>
  <c r="L34" i="4"/>
  <c r="J34" i="4"/>
  <c r="R33" i="4"/>
  <c r="J33" i="4"/>
  <c r="R32" i="4"/>
  <c r="P32" i="4"/>
  <c r="N32" i="4"/>
  <c r="L32" i="4"/>
  <c r="J32" i="4"/>
  <c r="H35" i="4"/>
  <c r="H34" i="4"/>
  <c r="H33" i="4"/>
  <c r="H32" i="4"/>
  <c r="H143" i="35"/>
  <c r="H139" i="35"/>
  <c r="H138" i="35"/>
  <c r="I116" i="35"/>
  <c r="I112" i="35"/>
  <c r="H88" i="35"/>
  <c r="H86" i="35"/>
  <c r="H85" i="35"/>
  <c r="H83" i="35"/>
  <c r="H68" i="35"/>
  <c r="I67" i="35"/>
  <c r="B67" i="35"/>
  <c r="I66" i="35"/>
  <c r="B66" i="35"/>
  <c r="I65" i="35"/>
  <c r="B65" i="35"/>
  <c r="H64" i="35"/>
  <c r="H62" i="35"/>
  <c r="H59" i="35"/>
  <c r="H58" i="35"/>
  <c r="H35" i="35"/>
  <c r="H34" i="35"/>
  <c r="H32" i="35"/>
  <c r="H20" i="35"/>
  <c r="H19" i="35"/>
  <c r="H18" i="35"/>
  <c r="H17" i="35"/>
  <c r="H16" i="35"/>
  <c r="H15" i="35"/>
  <c r="H14" i="35"/>
  <c r="H11" i="35"/>
  <c r="H10" i="35"/>
  <c r="H9" i="35"/>
  <c r="H8" i="35"/>
  <c r="H7" i="35"/>
  <c r="H72" i="28"/>
  <c r="H73" i="28"/>
  <c r="H143" i="34"/>
  <c r="H139" i="34"/>
  <c r="H138" i="34"/>
  <c r="I112" i="34"/>
  <c r="I116" i="34" s="1"/>
  <c r="H88" i="34"/>
  <c r="H86" i="34"/>
  <c r="H85" i="34"/>
  <c r="H83" i="34"/>
  <c r="H69" i="34"/>
  <c r="H68" i="34"/>
  <c r="I67" i="34"/>
  <c r="B67" i="34"/>
  <c r="I66" i="34"/>
  <c r="B66" i="34"/>
  <c r="I65" i="34"/>
  <c r="B65" i="34"/>
  <c r="H64" i="34"/>
  <c r="H62" i="34"/>
  <c r="I61" i="34" s="1"/>
  <c r="H59" i="34"/>
  <c r="H58" i="34"/>
  <c r="H36" i="34"/>
  <c r="H35" i="34"/>
  <c r="H34" i="34"/>
  <c r="H32" i="34"/>
  <c r="H20" i="34"/>
  <c r="H19" i="34"/>
  <c r="H18" i="34"/>
  <c r="H17" i="34"/>
  <c r="H16" i="34"/>
  <c r="H15" i="34"/>
  <c r="H14" i="34"/>
  <c r="H11" i="34"/>
  <c r="H37" i="34" s="1"/>
  <c r="H38" i="34" s="1"/>
  <c r="H10" i="34"/>
  <c r="H9" i="34"/>
  <c r="H8" i="34"/>
  <c r="H7" i="34"/>
  <c r="H83" i="29"/>
  <c r="H83" i="28"/>
  <c r="H83" i="27"/>
  <c r="W79" i="29"/>
  <c r="H69" i="29"/>
  <c r="H35" i="29"/>
  <c r="H36" i="29"/>
  <c r="H20" i="32"/>
  <c r="H19" i="32"/>
  <c r="H18" i="32"/>
  <c r="H15" i="32"/>
  <c r="H14" i="32"/>
  <c r="H11" i="32"/>
  <c r="H10" i="32"/>
  <c r="H8" i="32"/>
  <c r="D13" i="33" s="1"/>
  <c r="H7" i="32"/>
  <c r="Q116" i="31"/>
  <c r="K116" i="31"/>
  <c r="S112" i="31"/>
  <c r="S116" i="31" s="1"/>
  <c r="Q112" i="31"/>
  <c r="O112" i="31"/>
  <c r="O116" i="31" s="1"/>
  <c r="M112" i="31"/>
  <c r="M116" i="31" s="1"/>
  <c r="K112" i="31"/>
  <c r="J50" i="31"/>
  <c r="J47" i="31"/>
  <c r="R20" i="31"/>
  <c r="P20" i="31"/>
  <c r="N20" i="31"/>
  <c r="L20" i="31"/>
  <c r="J20" i="31"/>
  <c r="H20" i="31"/>
  <c r="R19" i="31"/>
  <c r="P19" i="31"/>
  <c r="N19" i="31"/>
  <c r="L19" i="31"/>
  <c r="J19" i="31"/>
  <c r="H19" i="31"/>
  <c r="R18" i="31"/>
  <c r="P18" i="31"/>
  <c r="N18" i="31"/>
  <c r="L18" i="31"/>
  <c r="J18" i="31"/>
  <c r="H18" i="31"/>
  <c r="R15" i="31"/>
  <c r="P15" i="31"/>
  <c r="N15" i="31"/>
  <c r="L15" i="31"/>
  <c r="J15" i="31"/>
  <c r="H15" i="31"/>
  <c r="R14" i="31"/>
  <c r="P14" i="31"/>
  <c r="N14" i="31"/>
  <c r="L14" i="31"/>
  <c r="J14" i="31"/>
  <c r="H14" i="31"/>
  <c r="R11" i="31"/>
  <c r="R37" i="31" s="1"/>
  <c r="R38" i="31" s="1"/>
  <c r="P11" i="31"/>
  <c r="P37" i="31" s="1"/>
  <c r="P38" i="31" s="1"/>
  <c r="N11" i="31"/>
  <c r="N71" i="31" s="1"/>
  <c r="L11" i="31"/>
  <c r="L71" i="31" s="1"/>
  <c r="J11" i="31"/>
  <c r="J73" i="31" s="1"/>
  <c r="H11" i="31"/>
  <c r="H39" i="31" s="1"/>
  <c r="R10" i="31"/>
  <c r="P10" i="31"/>
  <c r="N10" i="31"/>
  <c r="L10" i="31"/>
  <c r="J10" i="31"/>
  <c r="H10" i="31"/>
  <c r="R8" i="31"/>
  <c r="D12" i="33" s="1"/>
  <c r="P8" i="31"/>
  <c r="D11" i="33" s="1"/>
  <c r="N8" i="31"/>
  <c r="D10" i="33" s="1"/>
  <c r="L8" i="31"/>
  <c r="D9" i="33" s="1"/>
  <c r="J8" i="31"/>
  <c r="D8" i="33" s="1"/>
  <c r="H8" i="31"/>
  <c r="D7" i="33" s="1"/>
  <c r="R7" i="31"/>
  <c r="P7" i="31"/>
  <c r="N7" i="31"/>
  <c r="L7" i="31"/>
  <c r="J7" i="31"/>
  <c r="H7" i="31"/>
  <c r="L53" i="31"/>
  <c r="H17" i="32"/>
  <c r="I23" i="32" s="1"/>
  <c r="R143" i="31"/>
  <c r="R139" i="31"/>
  <c r="R138" i="31"/>
  <c r="R58" i="31"/>
  <c r="R59" i="31"/>
  <c r="R64" i="31"/>
  <c r="R62" i="31"/>
  <c r="R17" i="31"/>
  <c r="S23" i="31" s="1"/>
  <c r="R16" i="31"/>
  <c r="R9" i="31"/>
  <c r="P143" i="31"/>
  <c r="P139" i="31"/>
  <c r="P138" i="31"/>
  <c r="P58" i="31"/>
  <c r="P59" i="31"/>
  <c r="P64" i="31"/>
  <c r="P62" i="31"/>
  <c r="P17" i="31"/>
  <c r="Q23" i="31" s="1"/>
  <c r="P16" i="31"/>
  <c r="P9" i="31"/>
  <c r="N143" i="31"/>
  <c r="N139" i="31"/>
  <c r="N138" i="31"/>
  <c r="N58" i="31"/>
  <c r="N59" i="31"/>
  <c r="N64" i="31"/>
  <c r="N62" i="31"/>
  <c r="N17" i="31"/>
  <c r="O23" i="31" s="1"/>
  <c r="N16" i="31"/>
  <c r="N9" i="31"/>
  <c r="L143" i="31"/>
  <c r="L139" i="31"/>
  <c r="L138" i="31"/>
  <c r="L58" i="31"/>
  <c r="L59" i="31"/>
  <c r="L64" i="31"/>
  <c r="L62" i="31"/>
  <c r="L17" i="31"/>
  <c r="M23" i="31" s="1"/>
  <c r="L16" i="31"/>
  <c r="L9" i="31"/>
  <c r="J143" i="31"/>
  <c r="J139" i="31"/>
  <c r="J138" i="31"/>
  <c r="J58" i="31"/>
  <c r="J59" i="31"/>
  <c r="J64" i="31"/>
  <c r="S67" i="31"/>
  <c r="M65" i="31"/>
  <c r="J62" i="31"/>
  <c r="J17" i="31"/>
  <c r="K23" i="31" s="1"/>
  <c r="J16" i="31"/>
  <c r="J9" i="31"/>
  <c r="H139" i="32"/>
  <c r="H17" i="31"/>
  <c r="I23" i="31" s="1"/>
  <c r="H16" i="32"/>
  <c r="H143" i="29"/>
  <c r="H139" i="29"/>
  <c r="H138" i="29"/>
  <c r="I112" i="29"/>
  <c r="I116" i="29" s="1"/>
  <c r="H88" i="29"/>
  <c r="H86" i="29"/>
  <c r="H85" i="29"/>
  <c r="H68" i="29"/>
  <c r="I67" i="29"/>
  <c r="B67" i="29"/>
  <c r="I66" i="29"/>
  <c r="B66" i="29"/>
  <c r="I65" i="29"/>
  <c r="B65" i="29"/>
  <c r="H64" i="29"/>
  <c r="H62" i="29"/>
  <c r="H59" i="29"/>
  <c r="H58" i="29"/>
  <c r="H34" i="29"/>
  <c r="H32" i="29"/>
  <c r="H20" i="29"/>
  <c r="H19" i="29"/>
  <c r="H18" i="29"/>
  <c r="H17" i="29"/>
  <c r="H16" i="29"/>
  <c r="H15" i="29"/>
  <c r="H14" i="29"/>
  <c r="H11" i="29"/>
  <c r="H156" i="29" s="1"/>
  <c r="H10" i="29"/>
  <c r="H9" i="29"/>
  <c r="H8" i="29"/>
  <c r="H7" i="29"/>
  <c r="H143" i="28"/>
  <c r="H139" i="28"/>
  <c r="H138" i="28"/>
  <c r="I112" i="28"/>
  <c r="I116" i="28" s="1"/>
  <c r="H88" i="28"/>
  <c r="H86" i="28"/>
  <c r="H85" i="28"/>
  <c r="H68" i="28"/>
  <c r="I67" i="28"/>
  <c r="B67" i="28"/>
  <c r="I66" i="28"/>
  <c r="B66" i="28"/>
  <c r="I65" i="28"/>
  <c r="B65" i="28"/>
  <c r="H64" i="28"/>
  <c r="H62" i="28"/>
  <c r="H59" i="28"/>
  <c r="H58" i="28"/>
  <c r="H35" i="28"/>
  <c r="H34" i="28"/>
  <c r="H32" i="28"/>
  <c r="H20" i="28"/>
  <c r="H19" i="28"/>
  <c r="H18" i="28"/>
  <c r="H17" i="28"/>
  <c r="H16" i="28"/>
  <c r="H15" i="28"/>
  <c r="H14" i="28"/>
  <c r="H11" i="28"/>
  <c r="H37" i="28" s="1"/>
  <c r="H38" i="28" s="1"/>
  <c r="H10" i="28"/>
  <c r="H9" i="28"/>
  <c r="H8" i="28"/>
  <c r="H7" i="28"/>
  <c r="S61" i="31" l="1"/>
  <c r="S68" i="31" s="1"/>
  <c r="J72" i="31"/>
  <c r="P73" i="31"/>
  <c r="L39" i="31"/>
  <c r="N70" i="31"/>
  <c r="L123" i="31"/>
  <c r="J70" i="31"/>
  <c r="P71" i="31"/>
  <c r="L73" i="31"/>
  <c r="J39" i="31"/>
  <c r="L70" i="31"/>
  <c r="R71" i="31"/>
  <c r="N73" i="31"/>
  <c r="J123" i="31"/>
  <c r="J37" i="31"/>
  <c r="J38" i="31" s="1"/>
  <c r="N39" i="31"/>
  <c r="P70" i="31"/>
  <c r="L72" i="31"/>
  <c r="R73" i="31"/>
  <c r="N123" i="31"/>
  <c r="L37" i="31"/>
  <c r="L38" i="31" s="1"/>
  <c r="P39" i="31"/>
  <c r="P33" i="31" s="1"/>
  <c r="P40" i="31" s="1"/>
  <c r="R70" i="31"/>
  <c r="N72" i="31"/>
  <c r="P123" i="31"/>
  <c r="H73" i="32"/>
  <c r="H72" i="32"/>
  <c r="H39" i="32"/>
  <c r="H71" i="32"/>
  <c r="H37" i="32"/>
  <c r="H70" i="32"/>
  <c r="H123" i="32"/>
  <c r="N37" i="31"/>
  <c r="N38" i="31" s="1"/>
  <c r="R39" i="31"/>
  <c r="J71" i="31"/>
  <c r="P72" i="31"/>
  <c r="R123" i="31"/>
  <c r="R72" i="31"/>
  <c r="H71" i="31"/>
  <c r="H123" i="31"/>
  <c r="H70" i="31"/>
  <c r="H72" i="31"/>
  <c r="H73" i="31"/>
  <c r="E7" i="33"/>
  <c r="H37" i="31"/>
  <c r="H38" i="31" s="1"/>
  <c r="O65" i="31"/>
  <c r="O71" i="31" s="1"/>
  <c r="Q65" i="31"/>
  <c r="Q71" i="31" s="1"/>
  <c r="I65" i="31"/>
  <c r="I71" i="31" s="1"/>
  <c r="I65" i="32"/>
  <c r="H88" i="31"/>
  <c r="R88" i="31"/>
  <c r="P88" i="31"/>
  <c r="N88" i="31"/>
  <c r="H88" i="32"/>
  <c r="L88" i="31"/>
  <c r="J88" i="31"/>
  <c r="P50" i="31"/>
  <c r="I61" i="5"/>
  <c r="I69" i="5" s="1"/>
  <c r="S73" i="31"/>
  <c r="H83" i="32"/>
  <c r="R85" i="31"/>
  <c r="N83" i="31"/>
  <c r="P83" i="31"/>
  <c r="P85" i="31"/>
  <c r="L83" i="31"/>
  <c r="N85" i="31"/>
  <c r="J83" i="31"/>
  <c r="L85" i="31"/>
  <c r="H83" i="31"/>
  <c r="J85" i="31"/>
  <c r="H85" i="32"/>
  <c r="H85" i="31"/>
  <c r="R83" i="31"/>
  <c r="I66" i="32"/>
  <c r="I72" i="32" s="1"/>
  <c r="I66" i="31"/>
  <c r="I72" i="31" s="1"/>
  <c r="H108" i="32"/>
  <c r="H108" i="31"/>
  <c r="K74" i="37"/>
  <c r="K79" i="37" s="1"/>
  <c r="I74" i="38"/>
  <c r="I79" i="38" s="1"/>
  <c r="I67" i="32"/>
  <c r="I73" i="32" s="1"/>
  <c r="I67" i="31"/>
  <c r="I73" i="31" s="1"/>
  <c r="R51" i="31"/>
  <c r="H50" i="32"/>
  <c r="H51" i="31"/>
  <c r="H49" i="32"/>
  <c r="H50" i="31"/>
  <c r="H48" i="32"/>
  <c r="H49" i="31"/>
  <c r="H47" i="32"/>
  <c r="H48" i="31"/>
  <c r="H47" i="31"/>
  <c r="H46" i="32"/>
  <c r="H53" i="32"/>
  <c r="H46" i="31"/>
  <c r="H52" i="32"/>
  <c r="H53" i="31"/>
  <c r="H51" i="32"/>
  <c r="H52" i="31"/>
  <c r="P53" i="31"/>
  <c r="H62" i="32"/>
  <c r="H62" i="31"/>
  <c r="Q61" i="31"/>
  <c r="Q69" i="31" s="1"/>
  <c r="M71" i="31"/>
  <c r="H64" i="32"/>
  <c r="H64" i="31"/>
  <c r="I24" i="32"/>
  <c r="I29" i="32" s="1"/>
  <c r="I126" i="32"/>
  <c r="I128" i="32" s="1"/>
  <c r="M126" i="31"/>
  <c r="K126" i="31"/>
  <c r="K128" i="31" s="1"/>
  <c r="I126" i="31"/>
  <c r="I128" i="31" s="1"/>
  <c r="O126" i="31"/>
  <c r="S126" i="31"/>
  <c r="S128" i="31" s="1"/>
  <c r="O128" i="31"/>
  <c r="Q126" i="31"/>
  <c r="Q128" i="31" s="1"/>
  <c r="M128" i="31"/>
  <c r="R142" i="31"/>
  <c r="H123" i="34"/>
  <c r="H58" i="32"/>
  <c r="H58" i="31"/>
  <c r="H59" i="32"/>
  <c r="H59" i="31"/>
  <c r="H54" i="5"/>
  <c r="H87" i="5" s="1"/>
  <c r="H156" i="34"/>
  <c r="H71" i="28"/>
  <c r="H71" i="29"/>
  <c r="I71" i="29" s="1"/>
  <c r="H72" i="29"/>
  <c r="I72" i="29" s="1"/>
  <c r="I23" i="34"/>
  <c r="I57" i="34" s="1"/>
  <c r="I23" i="35"/>
  <c r="I24" i="35" s="1"/>
  <c r="I61" i="15"/>
  <c r="I69" i="15" s="1"/>
  <c r="I61" i="16"/>
  <c r="I69" i="16" s="1"/>
  <c r="I61" i="35"/>
  <c r="I73" i="16"/>
  <c r="H73" i="29"/>
  <c r="I73" i="29" s="1"/>
  <c r="H70" i="34"/>
  <c r="I70" i="34" s="1"/>
  <c r="H71" i="34"/>
  <c r="I71" i="34" s="1"/>
  <c r="H70" i="29"/>
  <c r="H73" i="34"/>
  <c r="I73" i="34" s="1"/>
  <c r="H39" i="34"/>
  <c r="H33" i="34" s="1"/>
  <c r="H40" i="34" s="1"/>
  <c r="H72" i="34"/>
  <c r="I72" i="34" s="1"/>
  <c r="H123" i="29"/>
  <c r="I70" i="37"/>
  <c r="I69" i="37"/>
  <c r="I68" i="37"/>
  <c r="I33" i="38"/>
  <c r="I40" i="38" s="1"/>
  <c r="R33" i="31"/>
  <c r="R40" i="31" s="1"/>
  <c r="K61" i="31"/>
  <c r="O24" i="31"/>
  <c r="H40" i="5"/>
  <c r="L33" i="4"/>
  <c r="H72" i="35"/>
  <c r="I72" i="35" s="1"/>
  <c r="H73" i="35"/>
  <c r="I73" i="35" s="1"/>
  <c r="H39" i="35"/>
  <c r="H70" i="35"/>
  <c r="H123" i="35"/>
  <c r="H71" i="35"/>
  <c r="I71" i="35" s="1"/>
  <c r="H37" i="35"/>
  <c r="H38" i="35" s="1"/>
  <c r="H156" i="35"/>
  <c r="I68" i="34"/>
  <c r="I69" i="34"/>
  <c r="I23" i="28"/>
  <c r="I57" i="28" s="1"/>
  <c r="I61" i="29"/>
  <c r="I69" i="29" s="1"/>
  <c r="H37" i="29"/>
  <c r="H38" i="29" s="1"/>
  <c r="I23" i="29"/>
  <c r="I57" i="29" s="1"/>
  <c r="H39" i="29"/>
  <c r="H70" i="28"/>
  <c r="I72" i="28"/>
  <c r="H39" i="28"/>
  <c r="H33" i="28" s="1"/>
  <c r="H40" i="28" s="1"/>
  <c r="H123" i="28"/>
  <c r="I71" i="28"/>
  <c r="K24" i="31"/>
  <c r="R47" i="31"/>
  <c r="M61" i="31"/>
  <c r="M68" i="31" s="1"/>
  <c r="K57" i="31"/>
  <c r="K66" i="31"/>
  <c r="K72" i="31" s="1"/>
  <c r="S66" i="31"/>
  <c r="M66" i="31"/>
  <c r="M72" i="31" s="1"/>
  <c r="Q66" i="31"/>
  <c r="Q72" i="31" s="1"/>
  <c r="O66" i="31"/>
  <c r="O72" i="31" s="1"/>
  <c r="O61" i="31"/>
  <c r="O69" i="31" s="1"/>
  <c r="Q57" i="31"/>
  <c r="I24" i="31"/>
  <c r="N48" i="31"/>
  <c r="Q24" i="31"/>
  <c r="H9" i="32"/>
  <c r="H9" i="31"/>
  <c r="H143" i="32"/>
  <c r="H143" i="31"/>
  <c r="M67" i="31"/>
  <c r="M73" i="31" s="1"/>
  <c r="K67" i="31"/>
  <c r="K73" i="31" s="1"/>
  <c r="Q67" i="31"/>
  <c r="Q73" i="31" s="1"/>
  <c r="O67" i="31"/>
  <c r="S57" i="31"/>
  <c r="H141" i="32"/>
  <c r="P142" i="31"/>
  <c r="H142" i="31"/>
  <c r="L141" i="31"/>
  <c r="N142" i="31"/>
  <c r="H142" i="32"/>
  <c r="L142" i="31"/>
  <c r="N141" i="31"/>
  <c r="J142" i="31"/>
  <c r="J141" i="31"/>
  <c r="R141" i="31"/>
  <c r="J53" i="31"/>
  <c r="L52" i="31"/>
  <c r="N51" i="31"/>
  <c r="N50" i="31"/>
  <c r="P49" i="31"/>
  <c r="R48" i="31"/>
  <c r="J48" i="31"/>
  <c r="N47" i="31"/>
  <c r="R46" i="31"/>
  <c r="J46" i="31"/>
  <c r="P141" i="31"/>
  <c r="L51" i="31"/>
  <c r="L49" i="31"/>
  <c r="H141" i="31"/>
  <c r="R53" i="31"/>
  <c r="J52" i="31"/>
  <c r="J51" i="31"/>
  <c r="L50" i="31"/>
  <c r="N49" i="31"/>
  <c r="P48" i="31"/>
  <c r="L47" i="31"/>
  <c r="P46" i="31"/>
  <c r="P52" i="31"/>
  <c r="N52" i="31"/>
  <c r="P51" i="31"/>
  <c r="R49" i="31"/>
  <c r="L48" i="31"/>
  <c r="L46" i="31"/>
  <c r="N53" i="31"/>
  <c r="R50" i="31"/>
  <c r="P47" i="31"/>
  <c r="L108" i="31"/>
  <c r="R108" i="31"/>
  <c r="P108" i="31"/>
  <c r="N108" i="31"/>
  <c r="J108" i="31"/>
  <c r="E10" i="33"/>
  <c r="N156" i="31"/>
  <c r="S24" i="31"/>
  <c r="H139" i="31"/>
  <c r="N46" i="31"/>
  <c r="J49" i="31"/>
  <c r="R52" i="31"/>
  <c r="E11" i="33"/>
  <c r="H138" i="31"/>
  <c r="H138" i="32"/>
  <c r="R156" i="31"/>
  <c r="S65" i="31"/>
  <c r="H156" i="31"/>
  <c r="E13" i="33"/>
  <c r="H156" i="32"/>
  <c r="E8" i="33"/>
  <c r="J156" i="31"/>
  <c r="K65" i="31"/>
  <c r="K71" i="31" s="1"/>
  <c r="O57" i="31"/>
  <c r="E9" i="33"/>
  <c r="L156" i="31"/>
  <c r="H16" i="31"/>
  <c r="E12" i="33"/>
  <c r="P156" i="31"/>
  <c r="I61" i="28"/>
  <c r="I69" i="28" s="1"/>
  <c r="I73" i="28"/>
  <c r="H156" i="28"/>
  <c r="K70" i="31" l="1"/>
  <c r="J33" i="31"/>
  <c r="J40" i="31" s="1"/>
  <c r="L33" i="31"/>
  <c r="L40" i="31" s="1"/>
  <c r="O73" i="31"/>
  <c r="S72" i="31"/>
  <c r="S70" i="31"/>
  <c r="S69" i="31"/>
  <c r="I32" i="32"/>
  <c r="I36" i="32"/>
  <c r="N33" i="31"/>
  <c r="N40" i="31" s="1"/>
  <c r="S71" i="31"/>
  <c r="S74" i="31" s="1"/>
  <c r="S79" i="31" s="1"/>
  <c r="H38" i="32"/>
  <c r="H33" i="32"/>
  <c r="H40" i="32" s="1"/>
  <c r="I71" i="32"/>
  <c r="H33" i="31"/>
  <c r="H40" i="31" s="1"/>
  <c r="I41" i="32"/>
  <c r="I57" i="32"/>
  <c r="I37" i="32"/>
  <c r="I34" i="32"/>
  <c r="I35" i="32"/>
  <c r="I38" i="32"/>
  <c r="I57" i="35"/>
  <c r="I39" i="32"/>
  <c r="I61" i="31"/>
  <c r="I70" i="31" s="1"/>
  <c r="I90" i="32"/>
  <c r="Q121" i="31"/>
  <c r="S123" i="31"/>
  <c r="O121" i="31"/>
  <c r="Q123" i="31"/>
  <c r="M121" i="31"/>
  <c r="O123" i="31"/>
  <c r="K121" i="31"/>
  <c r="M123" i="31"/>
  <c r="I121" i="31"/>
  <c r="S121" i="31"/>
  <c r="I121" i="32"/>
  <c r="K123" i="31"/>
  <c r="I123" i="31"/>
  <c r="I123" i="32"/>
  <c r="I70" i="5"/>
  <c r="O68" i="31"/>
  <c r="Q68" i="31"/>
  <c r="Q70" i="31"/>
  <c r="M69" i="31"/>
  <c r="I68" i="5"/>
  <c r="M70" i="31"/>
  <c r="K69" i="31"/>
  <c r="O70" i="31"/>
  <c r="I74" i="37"/>
  <c r="I79" i="37" s="1"/>
  <c r="K68" i="31"/>
  <c r="H54" i="31"/>
  <c r="H87" i="31" s="1"/>
  <c r="I57" i="31"/>
  <c r="H54" i="32"/>
  <c r="H87" i="32" s="1"/>
  <c r="I61" i="32"/>
  <c r="I70" i="35"/>
  <c r="I24" i="34"/>
  <c r="I68" i="15"/>
  <c r="I69" i="35"/>
  <c r="I68" i="35"/>
  <c r="I68" i="16"/>
  <c r="I24" i="28"/>
  <c r="I77" i="38"/>
  <c r="I42" i="38"/>
  <c r="I43" i="38" s="1"/>
  <c r="E14" i="33"/>
  <c r="L54" i="31"/>
  <c r="L87" i="31" s="1"/>
  <c r="P54" i="31"/>
  <c r="P87" i="31" s="1"/>
  <c r="I70" i="29"/>
  <c r="I68" i="29"/>
  <c r="H33" i="35"/>
  <c r="H40" i="35" s="1"/>
  <c r="I74" i="34"/>
  <c r="I79" i="34" s="1"/>
  <c r="I70" i="28"/>
  <c r="I24" i="29"/>
  <c r="I68" i="28"/>
  <c r="H140" i="31"/>
  <c r="H140" i="32"/>
  <c r="J140" i="31"/>
  <c r="M24" i="31"/>
  <c r="N54" i="31"/>
  <c r="N87" i="31" s="1"/>
  <c r="R140" i="31"/>
  <c r="L140" i="31"/>
  <c r="M57" i="31"/>
  <c r="P140" i="31"/>
  <c r="N140" i="31"/>
  <c r="J54" i="31"/>
  <c r="J87" i="31" s="1"/>
  <c r="R54" i="31"/>
  <c r="R87" i="31" s="1"/>
  <c r="H33" i="29"/>
  <c r="H40" i="29" s="1"/>
  <c r="K74" i="31" l="1"/>
  <c r="K79" i="31" s="1"/>
  <c r="Q74" i="31"/>
  <c r="Q79" i="31" s="1"/>
  <c r="I33" i="32"/>
  <c r="I40" i="32" s="1"/>
  <c r="I42" i="32" s="1"/>
  <c r="I43" i="32" s="1"/>
  <c r="I68" i="31"/>
  <c r="I74" i="5"/>
  <c r="I79" i="5" s="1"/>
  <c r="I69" i="31"/>
  <c r="I68" i="32"/>
  <c r="I69" i="32"/>
  <c r="I70" i="32"/>
  <c r="I74" i="35"/>
  <c r="I79" i="35" s="1"/>
  <c r="I85" i="38"/>
  <c r="I51" i="38"/>
  <c r="I47" i="38"/>
  <c r="I88" i="38"/>
  <c r="I50" i="38"/>
  <c r="I46" i="38"/>
  <c r="I53" i="38"/>
  <c r="I49" i="38"/>
  <c r="I52" i="38"/>
  <c r="I86" i="38"/>
  <c r="I87" i="38" s="1"/>
  <c r="I48" i="38"/>
  <c r="I83" i="38"/>
  <c r="M74" i="31"/>
  <c r="M79" i="31" s="1"/>
  <c r="O74" i="31"/>
  <c r="O79" i="31" s="1"/>
  <c r="I74" i="29"/>
  <c r="I79" i="29" s="1"/>
  <c r="I74" i="28"/>
  <c r="I79" i="28" s="1"/>
  <c r="I130" i="32"/>
  <c r="I147" i="32"/>
  <c r="H143" i="27"/>
  <c r="H142" i="27"/>
  <c r="H141" i="27"/>
  <c r="H139" i="27"/>
  <c r="H138" i="27"/>
  <c r="I112" i="27"/>
  <c r="I116" i="27" s="1"/>
  <c r="H108" i="27"/>
  <c r="H88" i="27"/>
  <c r="H86" i="27"/>
  <c r="H85" i="27"/>
  <c r="H68" i="27"/>
  <c r="I67" i="27"/>
  <c r="I73" i="27" s="1"/>
  <c r="B67" i="27"/>
  <c r="I66" i="27"/>
  <c r="I72" i="27" s="1"/>
  <c r="B66" i="27"/>
  <c r="I65" i="27"/>
  <c r="I71" i="27" s="1"/>
  <c r="B65" i="27"/>
  <c r="H64" i="27"/>
  <c r="H62" i="27"/>
  <c r="H59" i="27"/>
  <c r="H58" i="27"/>
  <c r="H53" i="27"/>
  <c r="H52" i="27"/>
  <c r="H51" i="27"/>
  <c r="H50" i="27"/>
  <c r="H49" i="27"/>
  <c r="H48" i="27"/>
  <c r="H47" i="27"/>
  <c r="H46" i="27"/>
  <c r="H35" i="27"/>
  <c r="H34" i="27"/>
  <c r="H32" i="27"/>
  <c r="H20" i="27"/>
  <c r="H19" i="27"/>
  <c r="H18" i="27"/>
  <c r="H17" i="27"/>
  <c r="H16" i="27"/>
  <c r="H15" i="27"/>
  <c r="H14" i="27"/>
  <c r="H11" i="27"/>
  <c r="H10" i="27"/>
  <c r="H9" i="27"/>
  <c r="H8" i="27"/>
  <c r="H7" i="27"/>
  <c r="I77" i="32" l="1"/>
  <c r="I74" i="31"/>
  <c r="I79" i="31" s="1"/>
  <c r="I23" i="27"/>
  <c r="I74" i="32"/>
  <c r="I79" i="32" s="1"/>
  <c r="I84" i="38"/>
  <c r="I89" i="38" s="1"/>
  <c r="I54" i="38"/>
  <c r="I78" i="38" s="1"/>
  <c r="I80" i="38" s="1"/>
  <c r="I88" i="32"/>
  <c r="I53" i="32"/>
  <c r="I49" i="32"/>
  <c r="I50" i="32"/>
  <c r="I86" i="32"/>
  <c r="I87" i="32" s="1"/>
  <c r="I52" i="32"/>
  <c r="I48" i="32"/>
  <c r="I46" i="32"/>
  <c r="I85" i="32"/>
  <c r="I51" i="32"/>
  <c r="I47" i="32"/>
  <c r="I83" i="32"/>
  <c r="H140" i="27"/>
  <c r="I61" i="27"/>
  <c r="I70" i="27" s="1"/>
  <c r="H54" i="27"/>
  <c r="H87" i="27" s="1"/>
  <c r="H33" i="27"/>
  <c r="H40" i="27" s="1"/>
  <c r="I24" i="27"/>
  <c r="I57" i="27"/>
  <c r="H156" i="27"/>
  <c r="I132" i="38" l="1"/>
  <c r="I149" i="38"/>
  <c r="I92" i="38"/>
  <c r="I131" i="38"/>
  <c r="I91" i="38"/>
  <c r="I148" i="38"/>
  <c r="I54" i="32"/>
  <c r="I78" i="32" s="1"/>
  <c r="I80" i="32" s="1"/>
  <c r="I91" i="32" s="1"/>
  <c r="I84" i="32"/>
  <c r="I89" i="32" s="1"/>
  <c r="I92" i="32" s="1"/>
  <c r="I68" i="27"/>
  <c r="I69" i="27"/>
  <c r="I93" i="38" l="1"/>
  <c r="I93" i="32"/>
  <c r="I74" i="27"/>
  <c r="I79" i="27" s="1"/>
  <c r="H71" i="14"/>
  <c r="D54" i="14"/>
  <c r="E54" i="14" s="1"/>
  <c r="F54" i="14" s="1"/>
  <c r="G54" i="14" s="1"/>
  <c r="B50" i="14"/>
  <c r="C50" i="14"/>
  <c r="A50" i="14"/>
  <c r="C27" i="14"/>
  <c r="B25" i="14"/>
  <c r="H47" i="16" l="1"/>
  <c r="H51" i="15"/>
  <c r="H142" i="35"/>
  <c r="H47" i="35"/>
  <c r="H52" i="34"/>
  <c r="H49" i="29"/>
  <c r="H48" i="28"/>
  <c r="H141" i="34"/>
  <c r="H140" i="34" s="1"/>
  <c r="H50" i="28"/>
  <c r="H46" i="16"/>
  <c r="H50" i="15"/>
  <c r="H141" i="35"/>
  <c r="H140" i="35" s="1"/>
  <c r="H46" i="35"/>
  <c r="H51" i="34"/>
  <c r="H48" i="29"/>
  <c r="H47" i="28"/>
  <c r="H49" i="35"/>
  <c r="H46" i="34"/>
  <c r="H48" i="16"/>
  <c r="H52" i="15"/>
  <c r="H53" i="34"/>
  <c r="H53" i="16"/>
  <c r="H49" i="15"/>
  <c r="H53" i="35"/>
  <c r="H50" i="34"/>
  <c r="H47" i="29"/>
  <c r="H46" i="28"/>
  <c r="H51" i="29"/>
  <c r="H52" i="16"/>
  <c r="H48" i="15"/>
  <c r="H52" i="35"/>
  <c r="H49" i="34"/>
  <c r="H46" i="29"/>
  <c r="H142" i="28"/>
  <c r="H53" i="28"/>
  <c r="H51" i="28"/>
  <c r="H50" i="29"/>
  <c r="H51" i="16"/>
  <c r="H47" i="15"/>
  <c r="H51" i="35"/>
  <c r="H48" i="34"/>
  <c r="H142" i="29"/>
  <c r="H53" i="29"/>
  <c r="H141" i="28"/>
  <c r="H140" i="28" s="1"/>
  <c r="H52" i="28"/>
  <c r="H49" i="16"/>
  <c r="H53" i="15"/>
  <c r="H50" i="16"/>
  <c r="H46" i="15"/>
  <c r="H50" i="35"/>
  <c r="H142" i="34"/>
  <c r="H47" i="34"/>
  <c r="H141" i="29"/>
  <c r="H140" i="29" s="1"/>
  <c r="H52" i="29"/>
  <c r="H48" i="35"/>
  <c r="H49" i="28"/>
  <c r="H108" i="15"/>
  <c r="H108" i="28"/>
  <c r="H108" i="29"/>
  <c r="H108" i="34"/>
  <c r="H108" i="35"/>
  <c r="H108" i="16"/>
  <c r="I108" i="38"/>
  <c r="I108" i="32"/>
  <c r="H54" i="35" l="1"/>
  <c r="H87" i="35" s="1"/>
  <c r="H54" i="28"/>
  <c r="H87" i="28" s="1"/>
  <c r="H54" i="34"/>
  <c r="H87" i="34" s="1"/>
  <c r="H54" i="16"/>
  <c r="H87" i="16" s="1"/>
  <c r="H54" i="15"/>
  <c r="H87" i="15" s="1"/>
  <c r="H54" i="29"/>
  <c r="H87" i="29" s="1"/>
  <c r="I132" i="32"/>
  <c r="I149" i="32"/>
  <c r="I148" i="32"/>
  <c r="I131" i="32"/>
  <c r="N40" i="4"/>
  <c r="H143" i="16"/>
  <c r="H142" i="16"/>
  <c r="H141" i="16"/>
  <c r="H139" i="16"/>
  <c r="H138" i="16"/>
  <c r="H20" i="16"/>
  <c r="H19" i="16"/>
  <c r="H17" i="16"/>
  <c r="I23" i="16" s="1"/>
  <c r="I57" i="16" s="1"/>
  <c r="H16" i="16"/>
  <c r="H15" i="16"/>
  <c r="H14" i="16"/>
  <c r="H11" i="16"/>
  <c r="H10" i="16"/>
  <c r="H9" i="16"/>
  <c r="H8" i="16"/>
  <c r="D13" i="17" s="1"/>
  <c r="H7" i="16"/>
  <c r="R143" i="15"/>
  <c r="P143" i="15"/>
  <c r="N143" i="15"/>
  <c r="L143" i="15"/>
  <c r="J143" i="15"/>
  <c r="H143" i="15"/>
  <c r="R142" i="15"/>
  <c r="P142" i="15"/>
  <c r="N142" i="15"/>
  <c r="L142" i="15"/>
  <c r="J142" i="15"/>
  <c r="H142" i="15"/>
  <c r="R141" i="15"/>
  <c r="P141" i="15"/>
  <c r="N141" i="15"/>
  <c r="L141" i="15"/>
  <c r="J141" i="15"/>
  <c r="H141" i="15"/>
  <c r="R139" i="15"/>
  <c r="P139" i="15"/>
  <c r="N139" i="15"/>
  <c r="L139" i="15"/>
  <c r="J139" i="15"/>
  <c r="H139" i="15"/>
  <c r="R138" i="15"/>
  <c r="P138" i="15"/>
  <c r="N138" i="15"/>
  <c r="L138" i="15"/>
  <c r="J138" i="15"/>
  <c r="H138" i="15"/>
  <c r="M116" i="15"/>
  <c r="S112" i="15"/>
  <c r="S116" i="15" s="1"/>
  <c r="Q112" i="15"/>
  <c r="Q116" i="15" s="1"/>
  <c r="O112" i="15"/>
  <c r="O116" i="15" s="1"/>
  <c r="M112" i="15"/>
  <c r="K112" i="15"/>
  <c r="K116" i="15" s="1"/>
  <c r="R108" i="15"/>
  <c r="P108" i="15"/>
  <c r="N108" i="15"/>
  <c r="L108" i="15"/>
  <c r="J108" i="15"/>
  <c r="S67" i="15"/>
  <c r="S73" i="15" s="1"/>
  <c r="Q67" i="15"/>
  <c r="Q73" i="15" s="1"/>
  <c r="O67" i="15"/>
  <c r="O73" i="15" s="1"/>
  <c r="M67" i="15"/>
  <c r="M73" i="15" s="1"/>
  <c r="K67" i="15"/>
  <c r="K73" i="15" s="1"/>
  <c r="S66" i="15"/>
  <c r="S72" i="15" s="1"/>
  <c r="Q66" i="15"/>
  <c r="Q72" i="15" s="1"/>
  <c r="O66" i="15"/>
  <c r="O72" i="15" s="1"/>
  <c r="M66" i="15"/>
  <c r="M72" i="15" s="1"/>
  <c r="K66" i="15"/>
  <c r="K72" i="15" s="1"/>
  <c r="S65" i="15"/>
  <c r="Q65" i="15"/>
  <c r="O65" i="15"/>
  <c r="M65" i="15"/>
  <c r="K65" i="15"/>
  <c r="R64" i="15"/>
  <c r="P64" i="15"/>
  <c r="N64" i="15"/>
  <c r="L64" i="15"/>
  <c r="J64" i="15"/>
  <c r="R62" i="15"/>
  <c r="P62" i="15"/>
  <c r="N62" i="15"/>
  <c r="L62" i="15"/>
  <c r="J62" i="15"/>
  <c r="R59" i="15"/>
  <c r="P59" i="15"/>
  <c r="N59" i="15"/>
  <c r="L59" i="15"/>
  <c r="J59" i="15"/>
  <c r="R58" i="15"/>
  <c r="P58" i="15"/>
  <c r="N58" i="15"/>
  <c r="L58" i="15"/>
  <c r="J58" i="15"/>
  <c r="R53" i="15"/>
  <c r="P53" i="15"/>
  <c r="N53" i="15"/>
  <c r="L53" i="15"/>
  <c r="J53" i="15"/>
  <c r="R52" i="15"/>
  <c r="P52" i="15"/>
  <c r="N52" i="15"/>
  <c r="L52" i="15"/>
  <c r="J52" i="15"/>
  <c r="R51" i="15"/>
  <c r="P51" i="15"/>
  <c r="N51" i="15"/>
  <c r="L51" i="15"/>
  <c r="J51" i="15"/>
  <c r="R50" i="15"/>
  <c r="P50" i="15"/>
  <c r="N50" i="15"/>
  <c r="L50" i="15"/>
  <c r="J50" i="15"/>
  <c r="R49" i="15"/>
  <c r="P49" i="15"/>
  <c r="N49" i="15"/>
  <c r="L49" i="15"/>
  <c r="J49" i="15"/>
  <c r="R48" i="15"/>
  <c r="P48" i="15"/>
  <c r="N48" i="15"/>
  <c r="L48" i="15"/>
  <c r="J48" i="15"/>
  <c r="R47" i="15"/>
  <c r="P47" i="15"/>
  <c r="N47" i="15"/>
  <c r="L47" i="15"/>
  <c r="J47" i="15"/>
  <c r="R46" i="15"/>
  <c r="P46" i="15"/>
  <c r="N46" i="15"/>
  <c r="L46" i="15"/>
  <c r="J46" i="15"/>
  <c r="R20" i="15"/>
  <c r="P20" i="15"/>
  <c r="N20" i="15"/>
  <c r="L20" i="15"/>
  <c r="J20" i="15"/>
  <c r="H20" i="15"/>
  <c r="R19" i="15"/>
  <c r="P19" i="15"/>
  <c r="N19" i="15"/>
  <c r="L19" i="15"/>
  <c r="J19" i="15"/>
  <c r="H19" i="15"/>
  <c r="R18" i="15"/>
  <c r="P18" i="15"/>
  <c r="N18" i="15"/>
  <c r="L18" i="15"/>
  <c r="J18" i="15"/>
  <c r="H18" i="15"/>
  <c r="R17" i="15"/>
  <c r="S23" i="15" s="1"/>
  <c r="P17" i="15"/>
  <c r="Q23" i="15" s="1"/>
  <c r="N17" i="15"/>
  <c r="O23" i="15" s="1"/>
  <c r="L17" i="15"/>
  <c r="M23" i="15" s="1"/>
  <c r="J17" i="15"/>
  <c r="K23" i="15" s="1"/>
  <c r="H17" i="15"/>
  <c r="I23" i="15" s="1"/>
  <c r="I57" i="15" s="1"/>
  <c r="R16" i="15"/>
  <c r="P16" i="15"/>
  <c r="N16" i="15"/>
  <c r="L16" i="15"/>
  <c r="J16" i="15"/>
  <c r="H16" i="15"/>
  <c r="R15" i="15"/>
  <c r="P15" i="15"/>
  <c r="N15" i="15"/>
  <c r="L15" i="15"/>
  <c r="J15" i="15"/>
  <c r="H15" i="15"/>
  <c r="R14" i="15"/>
  <c r="P14" i="15"/>
  <c r="N14" i="15"/>
  <c r="L14" i="15"/>
  <c r="J14" i="15"/>
  <c r="H14" i="15"/>
  <c r="R11" i="15"/>
  <c r="P11" i="15"/>
  <c r="N11" i="15"/>
  <c r="L11" i="15"/>
  <c r="J11" i="15"/>
  <c r="H11" i="15"/>
  <c r="R10" i="15"/>
  <c r="P10" i="15"/>
  <c r="N10" i="15"/>
  <c r="L10" i="15"/>
  <c r="J10" i="15"/>
  <c r="H10" i="15"/>
  <c r="R9" i="15"/>
  <c r="P9" i="15"/>
  <c r="N9" i="15"/>
  <c r="L9" i="15"/>
  <c r="J9" i="15"/>
  <c r="H9" i="15"/>
  <c r="R8" i="15"/>
  <c r="D12" i="17" s="1"/>
  <c r="P8" i="15"/>
  <c r="D11" i="17" s="1"/>
  <c r="N8" i="15"/>
  <c r="D10" i="17" s="1"/>
  <c r="L8" i="15"/>
  <c r="D9" i="17" s="1"/>
  <c r="J8" i="15"/>
  <c r="D8" i="17" s="1"/>
  <c r="H8" i="15"/>
  <c r="D7" i="17" s="1"/>
  <c r="R7" i="15"/>
  <c r="P7" i="15"/>
  <c r="N7" i="15"/>
  <c r="L7" i="15"/>
  <c r="J7" i="15"/>
  <c r="H7" i="15"/>
  <c r="H18" i="16"/>
  <c r="H143" i="5"/>
  <c r="H142" i="5"/>
  <c r="H141" i="5"/>
  <c r="H139" i="5"/>
  <c r="H138" i="5"/>
  <c r="R108" i="4"/>
  <c r="P108" i="4"/>
  <c r="N108" i="4"/>
  <c r="L108" i="4"/>
  <c r="J108" i="4"/>
  <c r="H14" i="5"/>
  <c r="H19" i="5"/>
  <c r="H15" i="5"/>
  <c r="H11" i="5"/>
  <c r="H20" i="5"/>
  <c r="H16" i="5"/>
  <c r="H10" i="5"/>
  <c r="H9" i="5"/>
  <c r="H8" i="5"/>
  <c r="H7" i="5"/>
  <c r="R139" i="4"/>
  <c r="R138" i="4"/>
  <c r="P139" i="4"/>
  <c r="P138" i="4"/>
  <c r="N139" i="4"/>
  <c r="N138" i="4"/>
  <c r="L139" i="4"/>
  <c r="L138" i="4"/>
  <c r="J139" i="4"/>
  <c r="J138" i="4"/>
  <c r="H139" i="4"/>
  <c r="H138" i="4"/>
  <c r="H142" i="4"/>
  <c r="H141" i="4"/>
  <c r="J15" i="4"/>
  <c r="L15" i="4"/>
  <c r="N15" i="4"/>
  <c r="P15" i="4"/>
  <c r="R15" i="4"/>
  <c r="H15" i="4"/>
  <c r="J14" i="4"/>
  <c r="L14" i="4"/>
  <c r="N14" i="4"/>
  <c r="P14" i="4"/>
  <c r="R14" i="4"/>
  <c r="H14" i="4"/>
  <c r="J20" i="4"/>
  <c r="L20" i="4"/>
  <c r="N20" i="4"/>
  <c r="P20" i="4"/>
  <c r="R20" i="4"/>
  <c r="H20" i="4"/>
  <c r="J19" i="4"/>
  <c r="L19" i="4"/>
  <c r="N19" i="4"/>
  <c r="P19" i="4"/>
  <c r="R19" i="4"/>
  <c r="H19" i="4"/>
  <c r="H18" i="4"/>
  <c r="J18" i="4"/>
  <c r="L18" i="4"/>
  <c r="N18" i="4"/>
  <c r="P18" i="4"/>
  <c r="R18" i="4"/>
  <c r="N10" i="4"/>
  <c r="P10" i="4"/>
  <c r="R10" i="4"/>
  <c r="J10" i="4"/>
  <c r="L10" i="4"/>
  <c r="H10" i="4"/>
  <c r="R7" i="4"/>
  <c r="P7" i="4"/>
  <c r="N7" i="4"/>
  <c r="L7" i="4"/>
  <c r="J7" i="4"/>
  <c r="H7" i="4"/>
  <c r="H108" i="4"/>
  <c r="R64" i="4"/>
  <c r="P64" i="4"/>
  <c r="N64" i="4"/>
  <c r="L64" i="4"/>
  <c r="J64" i="4"/>
  <c r="H64" i="4"/>
  <c r="R59" i="4"/>
  <c r="P59" i="4"/>
  <c r="N59" i="4"/>
  <c r="L59" i="4"/>
  <c r="J59" i="4"/>
  <c r="H59" i="4"/>
  <c r="H70" i="2"/>
  <c r="H69" i="2"/>
  <c r="H68" i="2"/>
  <c r="H67" i="2"/>
  <c r="H66" i="2"/>
  <c r="H65" i="2"/>
  <c r="H64" i="2"/>
  <c r="H63" i="2"/>
  <c r="H62" i="2"/>
  <c r="H61" i="2"/>
  <c r="H60" i="2"/>
  <c r="P102" i="4" l="1"/>
  <c r="H102" i="5"/>
  <c r="H102" i="27"/>
  <c r="H65" i="14"/>
  <c r="H103" i="5"/>
  <c r="H103" i="27"/>
  <c r="H66" i="14"/>
  <c r="L104" i="4"/>
  <c r="H104" i="5"/>
  <c r="H104" i="27"/>
  <c r="H67" i="14"/>
  <c r="R104" i="15" s="1"/>
  <c r="R97" i="4"/>
  <c r="H59" i="2"/>
  <c r="H97" i="5"/>
  <c r="H97" i="27"/>
  <c r="H60" i="14"/>
  <c r="L97" i="15" s="1"/>
  <c r="R105" i="4"/>
  <c r="H105" i="5"/>
  <c r="H105" i="27"/>
  <c r="H68" i="14"/>
  <c r="H101" i="4"/>
  <c r="H101" i="5"/>
  <c r="H101" i="27"/>
  <c r="H64" i="14"/>
  <c r="L101" i="15" s="1"/>
  <c r="H98" i="5"/>
  <c r="H98" i="27"/>
  <c r="H61" i="14"/>
  <c r="P98" i="15" s="1"/>
  <c r="H106" i="5"/>
  <c r="H106" i="27"/>
  <c r="H69" i="14"/>
  <c r="N99" i="4"/>
  <c r="H99" i="5"/>
  <c r="H99" i="27"/>
  <c r="H62" i="14"/>
  <c r="N107" i="4"/>
  <c r="H107" i="5"/>
  <c r="H107" i="27"/>
  <c r="H70" i="14"/>
  <c r="R107" i="15" s="1"/>
  <c r="H100" i="5"/>
  <c r="H100" i="27"/>
  <c r="H63" i="14"/>
  <c r="L100" i="15" s="1"/>
  <c r="L71" i="15"/>
  <c r="M71" i="15" s="1"/>
  <c r="L39" i="15"/>
  <c r="L70" i="15"/>
  <c r="L37" i="15"/>
  <c r="M126" i="15"/>
  <c r="M128" i="15" s="1"/>
  <c r="L123" i="15"/>
  <c r="P70" i="15"/>
  <c r="P37" i="15"/>
  <c r="Q126" i="15"/>
  <c r="Q128" i="15" s="1"/>
  <c r="P123" i="15"/>
  <c r="P71" i="15"/>
  <c r="Q71" i="15" s="1"/>
  <c r="P39" i="15"/>
  <c r="R70" i="15"/>
  <c r="R37" i="15"/>
  <c r="S126" i="15"/>
  <c r="S128" i="15" s="1"/>
  <c r="R123" i="15"/>
  <c r="R71" i="15"/>
  <c r="S71" i="15" s="1"/>
  <c r="R39" i="15"/>
  <c r="N70" i="15"/>
  <c r="N37" i="15"/>
  <c r="O126" i="15"/>
  <c r="O128" i="15" s="1"/>
  <c r="N123" i="15"/>
  <c r="N71" i="15"/>
  <c r="O71" i="15" s="1"/>
  <c r="N39" i="15"/>
  <c r="H71" i="16"/>
  <c r="I71" i="16" s="1"/>
  <c r="H123" i="16"/>
  <c r="H70" i="16"/>
  <c r="I70" i="16" s="1"/>
  <c r="H39" i="16"/>
  <c r="H37" i="16"/>
  <c r="K126" i="15"/>
  <c r="K128" i="15" s="1"/>
  <c r="J71" i="15"/>
  <c r="K71" i="15" s="1"/>
  <c r="J39" i="15"/>
  <c r="J123" i="15"/>
  <c r="J70" i="15"/>
  <c r="J37" i="15"/>
  <c r="I126" i="16"/>
  <c r="I126" i="15"/>
  <c r="I128" i="15" s="1"/>
  <c r="H39" i="15"/>
  <c r="H37" i="15"/>
  <c r="H71" i="15"/>
  <c r="I71" i="15" s="1"/>
  <c r="H123" i="15"/>
  <c r="H70" i="15"/>
  <c r="I70" i="15" s="1"/>
  <c r="I126" i="34"/>
  <c r="I128" i="34" s="1"/>
  <c r="I126" i="35"/>
  <c r="I128" i="35" s="1"/>
  <c r="I126" i="29"/>
  <c r="I128" i="29" s="1"/>
  <c r="I126" i="28"/>
  <c r="I128" i="28" s="1"/>
  <c r="S24" i="15"/>
  <c r="H156" i="15"/>
  <c r="P140" i="15"/>
  <c r="K57" i="15"/>
  <c r="K61" i="15"/>
  <c r="Q61" i="15"/>
  <c r="O61" i="15"/>
  <c r="H140" i="15"/>
  <c r="M61" i="15"/>
  <c r="N101" i="15"/>
  <c r="J103" i="15"/>
  <c r="I24" i="15"/>
  <c r="J54" i="15"/>
  <c r="J87" i="15" s="1"/>
  <c r="N103" i="15"/>
  <c r="L54" i="15"/>
  <c r="L87" i="15" s="1"/>
  <c r="P103" i="15"/>
  <c r="N54" i="15"/>
  <c r="N87" i="15" s="1"/>
  <c r="M24" i="15"/>
  <c r="P54" i="15"/>
  <c r="P87" i="15" s="1"/>
  <c r="S61" i="15"/>
  <c r="P156" i="15"/>
  <c r="Q57" i="15"/>
  <c r="R54" i="15"/>
  <c r="R87" i="15" s="1"/>
  <c r="I24" i="16"/>
  <c r="E8" i="17"/>
  <c r="H140" i="16"/>
  <c r="N104" i="4"/>
  <c r="N98" i="4"/>
  <c r="P98" i="4"/>
  <c r="J106" i="4"/>
  <c r="P99" i="4"/>
  <c r="N106" i="4"/>
  <c r="J100" i="4"/>
  <c r="P106" i="4"/>
  <c r="L101" i="4"/>
  <c r="P107" i="4"/>
  <c r="P101" i="4"/>
  <c r="R101" i="4"/>
  <c r="J98" i="4"/>
  <c r="L103" i="4"/>
  <c r="L98" i="4"/>
  <c r="R99" i="4"/>
  <c r="N101" i="4"/>
  <c r="J103" i="4"/>
  <c r="P104" i="4"/>
  <c r="L106" i="4"/>
  <c r="R107" i="4"/>
  <c r="R104" i="4"/>
  <c r="J97" i="4"/>
  <c r="L100" i="4"/>
  <c r="N103" i="4"/>
  <c r="J105" i="4"/>
  <c r="L97" i="4"/>
  <c r="R98" i="4"/>
  <c r="N100" i="4"/>
  <c r="J102" i="4"/>
  <c r="P103" i="4"/>
  <c r="L105" i="4"/>
  <c r="R106" i="4"/>
  <c r="N97" i="4"/>
  <c r="J99" i="4"/>
  <c r="P100" i="4"/>
  <c r="L102" i="4"/>
  <c r="R103" i="4"/>
  <c r="N105" i="4"/>
  <c r="J107" i="4"/>
  <c r="P97" i="4"/>
  <c r="L99" i="4"/>
  <c r="R100" i="4"/>
  <c r="N102" i="4"/>
  <c r="J104" i="4"/>
  <c r="P105" i="4"/>
  <c r="L107" i="4"/>
  <c r="R102" i="4"/>
  <c r="J101" i="4"/>
  <c r="P40" i="4"/>
  <c r="J40" i="4"/>
  <c r="R40" i="4"/>
  <c r="L40" i="4"/>
  <c r="L99" i="15"/>
  <c r="R99" i="15"/>
  <c r="N99" i="15"/>
  <c r="J99" i="15"/>
  <c r="L107" i="15"/>
  <c r="J107" i="15"/>
  <c r="P102" i="15"/>
  <c r="R102" i="15"/>
  <c r="N102" i="15"/>
  <c r="L102" i="15"/>
  <c r="J102" i="15"/>
  <c r="E9" i="17"/>
  <c r="L156" i="15"/>
  <c r="S57" i="15"/>
  <c r="J140" i="15"/>
  <c r="P104" i="15"/>
  <c r="N104" i="15"/>
  <c r="E11" i="17"/>
  <c r="Q24" i="15"/>
  <c r="L105" i="15"/>
  <c r="J105" i="15"/>
  <c r="R105" i="15"/>
  <c r="P105" i="15"/>
  <c r="N105" i="15"/>
  <c r="E12" i="17"/>
  <c r="R156" i="15"/>
  <c r="J98" i="15"/>
  <c r="N98" i="15"/>
  <c r="P106" i="15"/>
  <c r="N106" i="15"/>
  <c r="L106" i="15"/>
  <c r="J106" i="15"/>
  <c r="P99" i="15"/>
  <c r="R106" i="15"/>
  <c r="E7" i="17"/>
  <c r="N140" i="15"/>
  <c r="L103" i="15"/>
  <c r="N156" i="15"/>
  <c r="E10" i="17"/>
  <c r="R140" i="15"/>
  <c r="J156" i="15"/>
  <c r="E13" i="17"/>
  <c r="H156" i="16"/>
  <c r="P101" i="15"/>
  <c r="L140" i="15"/>
  <c r="H140" i="5"/>
  <c r="H104" i="4"/>
  <c r="H102" i="4"/>
  <c r="H103" i="4"/>
  <c r="H97" i="4"/>
  <c r="H105" i="4"/>
  <c r="H98" i="4"/>
  <c r="H106" i="4"/>
  <c r="H99" i="4"/>
  <c r="H107" i="4"/>
  <c r="H100" i="4"/>
  <c r="J101" i="15" l="1"/>
  <c r="N107" i="15"/>
  <c r="P107" i="15"/>
  <c r="J104" i="15"/>
  <c r="L98" i="15"/>
  <c r="L104" i="15"/>
  <c r="R98" i="15"/>
  <c r="P97" i="15"/>
  <c r="H100" i="15"/>
  <c r="H100" i="28"/>
  <c r="H100" i="29"/>
  <c r="H100" i="35"/>
  <c r="H100" i="34"/>
  <c r="H100" i="16"/>
  <c r="R100" i="15"/>
  <c r="H98" i="37"/>
  <c r="N98" i="37"/>
  <c r="R98" i="37"/>
  <c r="P98" i="37"/>
  <c r="L98" i="37"/>
  <c r="J98" i="37"/>
  <c r="H98" i="38"/>
  <c r="I98" i="38" s="1"/>
  <c r="H107" i="32"/>
  <c r="I107" i="32" s="1"/>
  <c r="H107" i="31"/>
  <c r="P107" i="31"/>
  <c r="R107" i="31"/>
  <c r="L107" i="31"/>
  <c r="N107" i="31"/>
  <c r="J107" i="31"/>
  <c r="H98" i="42"/>
  <c r="I98" i="42" s="1"/>
  <c r="H98" i="41"/>
  <c r="P98" i="41"/>
  <c r="L98" i="41"/>
  <c r="N98" i="41"/>
  <c r="J98" i="41"/>
  <c r="R98" i="41"/>
  <c r="H105" i="35"/>
  <c r="H105" i="15"/>
  <c r="H105" i="28"/>
  <c r="H105" i="29"/>
  <c r="H105" i="34"/>
  <c r="H105" i="16"/>
  <c r="H102" i="34"/>
  <c r="H102" i="28"/>
  <c r="H102" i="29"/>
  <c r="H102" i="16"/>
  <c r="H102" i="15"/>
  <c r="H102" i="35"/>
  <c r="H99" i="32"/>
  <c r="I99" i="32" s="1"/>
  <c r="H99" i="31"/>
  <c r="R99" i="31"/>
  <c r="J99" i="31"/>
  <c r="N99" i="31"/>
  <c r="L99" i="31"/>
  <c r="P99" i="31"/>
  <c r="P100" i="15"/>
  <c r="H100" i="32"/>
  <c r="I100" i="32" s="1"/>
  <c r="H100" i="31"/>
  <c r="J100" i="31"/>
  <c r="R100" i="31"/>
  <c r="L100" i="31"/>
  <c r="P100" i="31"/>
  <c r="N100" i="31"/>
  <c r="R99" i="37"/>
  <c r="H99" i="38"/>
  <c r="I99" i="38" s="1"/>
  <c r="L99" i="37"/>
  <c r="H99" i="37"/>
  <c r="P99" i="37"/>
  <c r="N99" i="37"/>
  <c r="J99" i="37"/>
  <c r="P106" i="37"/>
  <c r="H106" i="38"/>
  <c r="I106" i="38" s="1"/>
  <c r="H106" i="37"/>
  <c r="L106" i="37"/>
  <c r="J106" i="37"/>
  <c r="R106" i="37"/>
  <c r="N106" i="37"/>
  <c r="H101" i="29"/>
  <c r="H101" i="34"/>
  <c r="H101" i="15"/>
  <c r="H101" i="16"/>
  <c r="H101" i="28"/>
  <c r="H101" i="35"/>
  <c r="R101" i="15"/>
  <c r="H104" i="16"/>
  <c r="H104" i="35"/>
  <c r="H104" i="15"/>
  <c r="H104" i="28"/>
  <c r="H104" i="29"/>
  <c r="H104" i="34"/>
  <c r="H103" i="16"/>
  <c r="H103" i="29"/>
  <c r="H103" i="35"/>
  <c r="H103" i="28"/>
  <c r="H103" i="34"/>
  <c r="H103" i="15"/>
  <c r="R103" i="15"/>
  <c r="H97" i="35"/>
  <c r="H97" i="16"/>
  <c r="H97" i="15"/>
  <c r="H97" i="28"/>
  <c r="H97" i="29"/>
  <c r="H97" i="34"/>
  <c r="H59" i="14"/>
  <c r="J100" i="15"/>
  <c r="R107" i="37"/>
  <c r="H107" i="38"/>
  <c r="I107" i="38" s="1"/>
  <c r="L107" i="37"/>
  <c r="N107" i="37"/>
  <c r="J107" i="37"/>
  <c r="H107" i="37"/>
  <c r="P107" i="37"/>
  <c r="L99" i="41"/>
  <c r="R99" i="41"/>
  <c r="J99" i="41"/>
  <c r="P99" i="41"/>
  <c r="H99" i="41"/>
  <c r="N99" i="41"/>
  <c r="H99" i="42"/>
  <c r="I99" i="42" s="1"/>
  <c r="H106" i="41"/>
  <c r="J106" i="41"/>
  <c r="N106" i="41"/>
  <c r="H106" i="42"/>
  <c r="I106" i="42" s="1"/>
  <c r="L106" i="41"/>
  <c r="R106" i="41"/>
  <c r="P106" i="41"/>
  <c r="H105" i="31"/>
  <c r="H105" i="32"/>
  <c r="I105" i="32" s="1"/>
  <c r="N105" i="31"/>
  <c r="R105" i="31"/>
  <c r="P105" i="31"/>
  <c r="L105" i="31"/>
  <c r="J105" i="31"/>
  <c r="H96" i="5"/>
  <c r="H109" i="5" s="1"/>
  <c r="H122" i="5" s="1"/>
  <c r="H96" i="27"/>
  <c r="H109" i="27" s="1"/>
  <c r="H122" i="27" s="1"/>
  <c r="J102" i="31"/>
  <c r="H102" i="31"/>
  <c r="H102" i="32"/>
  <c r="I102" i="32" s="1"/>
  <c r="L102" i="31"/>
  <c r="R102" i="31"/>
  <c r="P102" i="31"/>
  <c r="N102" i="31"/>
  <c r="L100" i="37"/>
  <c r="H100" i="38"/>
  <c r="I100" i="38" s="1"/>
  <c r="P100" i="37"/>
  <c r="H100" i="37"/>
  <c r="R100" i="37"/>
  <c r="N100" i="37"/>
  <c r="J100" i="37"/>
  <c r="L107" i="41"/>
  <c r="P107" i="41"/>
  <c r="H107" i="42"/>
  <c r="I107" i="42" s="1"/>
  <c r="H107" i="41"/>
  <c r="N107" i="41"/>
  <c r="R107" i="41"/>
  <c r="J107" i="41"/>
  <c r="H98" i="35"/>
  <c r="H98" i="15"/>
  <c r="H98" i="28"/>
  <c r="H98" i="29"/>
  <c r="H98" i="16"/>
  <c r="H98" i="34"/>
  <c r="R101" i="31"/>
  <c r="H101" i="31"/>
  <c r="H101" i="32"/>
  <c r="I101" i="32" s="1"/>
  <c r="J101" i="31"/>
  <c r="P101" i="31"/>
  <c r="N101" i="31"/>
  <c r="L101" i="31"/>
  <c r="H97" i="31"/>
  <c r="H97" i="32"/>
  <c r="I97" i="32" s="1"/>
  <c r="L97" i="31"/>
  <c r="J97" i="31"/>
  <c r="R97" i="31"/>
  <c r="N97" i="31"/>
  <c r="P97" i="31"/>
  <c r="H100" i="41"/>
  <c r="P100" i="41"/>
  <c r="L100" i="41"/>
  <c r="R100" i="41"/>
  <c r="H100" i="42"/>
  <c r="I100" i="42" s="1"/>
  <c r="N100" i="41"/>
  <c r="J100" i="41"/>
  <c r="H105" i="38"/>
  <c r="I105" i="38" s="1"/>
  <c r="L105" i="37"/>
  <c r="H105" i="37"/>
  <c r="J105" i="37"/>
  <c r="P105" i="37"/>
  <c r="R105" i="37"/>
  <c r="N105" i="37"/>
  <c r="P97" i="37"/>
  <c r="R97" i="37"/>
  <c r="L97" i="37"/>
  <c r="N97" i="37"/>
  <c r="H97" i="37"/>
  <c r="J97" i="37"/>
  <c r="H97" i="38"/>
  <c r="I97" i="38" s="1"/>
  <c r="H104" i="31"/>
  <c r="H104" i="32"/>
  <c r="I104" i="32" s="1"/>
  <c r="J104" i="31"/>
  <c r="P104" i="31"/>
  <c r="N104" i="31"/>
  <c r="R104" i="31"/>
  <c r="L104" i="31"/>
  <c r="H103" i="31"/>
  <c r="H103" i="32"/>
  <c r="I103" i="32" s="1"/>
  <c r="R103" i="31"/>
  <c r="P103" i="31"/>
  <c r="N103" i="31"/>
  <c r="L103" i="31"/>
  <c r="J103" i="31"/>
  <c r="H102" i="38"/>
  <c r="I102" i="38" s="1"/>
  <c r="P102" i="37"/>
  <c r="H102" i="37"/>
  <c r="N102" i="37"/>
  <c r="J102" i="37"/>
  <c r="R102" i="37"/>
  <c r="L102" i="37"/>
  <c r="N100" i="15"/>
  <c r="R97" i="15"/>
  <c r="J97" i="15"/>
  <c r="H99" i="35"/>
  <c r="H99" i="15"/>
  <c r="H99" i="28"/>
  <c r="H99" i="29"/>
  <c r="H99" i="34"/>
  <c r="H99" i="16"/>
  <c r="H106" i="35"/>
  <c r="H106" i="15"/>
  <c r="H106" i="28"/>
  <c r="H106" i="16"/>
  <c r="H106" i="29"/>
  <c r="H106" i="34"/>
  <c r="N101" i="37"/>
  <c r="H101" i="37"/>
  <c r="R101" i="37"/>
  <c r="P101" i="37"/>
  <c r="J101" i="37"/>
  <c r="L101" i="37"/>
  <c r="H101" i="38"/>
  <c r="I101" i="38" s="1"/>
  <c r="P105" i="41"/>
  <c r="H105" i="41"/>
  <c r="H105" i="42"/>
  <c r="I105" i="42" s="1"/>
  <c r="N105" i="41"/>
  <c r="L105" i="41"/>
  <c r="J105" i="41"/>
  <c r="R105" i="41"/>
  <c r="R97" i="41"/>
  <c r="N97" i="41"/>
  <c r="J97" i="41"/>
  <c r="P97" i="41"/>
  <c r="H97" i="41"/>
  <c r="H97" i="42"/>
  <c r="I97" i="42" s="1"/>
  <c r="L97" i="41"/>
  <c r="L104" i="37"/>
  <c r="H104" i="38"/>
  <c r="I104" i="38" s="1"/>
  <c r="J104" i="37"/>
  <c r="P104" i="37"/>
  <c r="H104" i="37"/>
  <c r="N104" i="37"/>
  <c r="R104" i="37"/>
  <c r="H103" i="38"/>
  <c r="I103" i="38" s="1"/>
  <c r="L103" i="37"/>
  <c r="J103" i="37"/>
  <c r="H103" i="37"/>
  <c r="R103" i="37"/>
  <c r="P103" i="37"/>
  <c r="N103" i="37"/>
  <c r="H102" i="41"/>
  <c r="L102" i="41"/>
  <c r="R102" i="41"/>
  <c r="J102" i="41"/>
  <c r="H102" i="42"/>
  <c r="I102" i="42" s="1"/>
  <c r="P102" i="41"/>
  <c r="N102" i="41"/>
  <c r="H106" i="32"/>
  <c r="I106" i="32" s="1"/>
  <c r="H106" i="31"/>
  <c r="N106" i="31"/>
  <c r="L106" i="31"/>
  <c r="R106" i="31"/>
  <c r="J106" i="31"/>
  <c r="P106" i="31"/>
  <c r="N97" i="15"/>
  <c r="H107" i="15"/>
  <c r="H107" i="28"/>
  <c r="H107" i="29"/>
  <c r="H107" i="35"/>
  <c r="H107" i="34"/>
  <c r="H107" i="16"/>
  <c r="H98" i="32"/>
  <c r="I98" i="32" s="1"/>
  <c r="H98" i="31"/>
  <c r="N98" i="31"/>
  <c r="J98" i="31"/>
  <c r="P98" i="31"/>
  <c r="L98" i="31"/>
  <c r="R98" i="31"/>
  <c r="N101" i="41"/>
  <c r="R101" i="41"/>
  <c r="P101" i="41"/>
  <c r="H101" i="41"/>
  <c r="H101" i="42"/>
  <c r="I101" i="42" s="1"/>
  <c r="L101" i="41"/>
  <c r="J101" i="41"/>
  <c r="P104" i="41"/>
  <c r="J104" i="41"/>
  <c r="H104" i="42"/>
  <c r="I104" i="42" s="1"/>
  <c r="H104" i="41"/>
  <c r="N104" i="41"/>
  <c r="L104" i="41"/>
  <c r="R104" i="41"/>
  <c r="N103" i="41"/>
  <c r="J103" i="41"/>
  <c r="P103" i="41"/>
  <c r="H103" i="42"/>
  <c r="I103" i="42" s="1"/>
  <c r="L103" i="41"/>
  <c r="R103" i="41"/>
  <c r="H103" i="41"/>
  <c r="K70" i="15"/>
  <c r="M69" i="15"/>
  <c r="M68" i="15"/>
  <c r="O69" i="15"/>
  <c r="O68" i="15"/>
  <c r="Q69" i="15"/>
  <c r="Q68" i="15"/>
  <c r="M70" i="15"/>
  <c r="K68" i="15"/>
  <c r="K69" i="15"/>
  <c r="S69" i="15"/>
  <c r="S68" i="15"/>
  <c r="O70" i="15"/>
  <c r="S70" i="15"/>
  <c r="S74" i="15" s="1"/>
  <c r="S79" i="15" s="1"/>
  <c r="Q70" i="15"/>
  <c r="J38" i="15"/>
  <c r="J33" i="15" s="1"/>
  <c r="J40" i="15" s="1"/>
  <c r="H38" i="16"/>
  <c r="H33" i="16" s="1"/>
  <c r="H40" i="16" s="1"/>
  <c r="L38" i="15"/>
  <c r="L33" i="15" s="1"/>
  <c r="L40" i="15" s="1"/>
  <c r="I74" i="16"/>
  <c r="I79" i="16" s="1"/>
  <c r="N38" i="15"/>
  <c r="N33" i="15" s="1"/>
  <c r="N40" i="15" s="1"/>
  <c r="R38" i="15"/>
  <c r="R33" i="15" s="1"/>
  <c r="R40" i="15" s="1"/>
  <c r="P38" i="15"/>
  <c r="P33" i="15" s="1"/>
  <c r="P40" i="15" s="1"/>
  <c r="I74" i="15"/>
  <c r="I79" i="15" s="1"/>
  <c r="I128" i="16"/>
  <c r="H38" i="15"/>
  <c r="H33" i="15" s="1"/>
  <c r="H40" i="15" s="1"/>
  <c r="K24" i="15"/>
  <c r="M57" i="15"/>
  <c r="I29" i="16"/>
  <c r="I24" i="5"/>
  <c r="L96" i="4"/>
  <c r="J96" i="4"/>
  <c r="R96" i="4"/>
  <c r="P96" i="4"/>
  <c r="N96" i="4"/>
  <c r="O24" i="15"/>
  <c r="O57" i="15"/>
  <c r="E14" i="17"/>
  <c r="H96" i="4"/>
  <c r="H109" i="4" s="1"/>
  <c r="M74" i="15" l="1"/>
  <c r="M79" i="15" s="1"/>
  <c r="Q74" i="15"/>
  <c r="Q79" i="15" s="1"/>
  <c r="H96" i="38"/>
  <c r="H109" i="38" s="1"/>
  <c r="H122" i="38" s="1"/>
  <c r="I122" i="38" s="1"/>
  <c r="I120" i="38" s="1"/>
  <c r="P96" i="37"/>
  <c r="H96" i="37"/>
  <c r="H109" i="37" s="1"/>
  <c r="R96" i="37"/>
  <c r="N96" i="37"/>
  <c r="L96" i="37"/>
  <c r="J96" i="37"/>
  <c r="I96" i="42"/>
  <c r="I109" i="42" s="1"/>
  <c r="I115" i="42" s="1"/>
  <c r="I117" i="42" s="1"/>
  <c r="I96" i="38"/>
  <c r="I109" i="38" s="1"/>
  <c r="I115" i="38" s="1"/>
  <c r="I117" i="38" s="1"/>
  <c r="H96" i="31"/>
  <c r="H109" i="31" s="1"/>
  <c r="H96" i="32"/>
  <c r="H109" i="32" s="1"/>
  <c r="P96" i="31"/>
  <c r="L96" i="31"/>
  <c r="J96" i="31"/>
  <c r="R96" i="31"/>
  <c r="N96" i="31"/>
  <c r="I96" i="32"/>
  <c r="I109" i="32" s="1"/>
  <c r="I115" i="32" s="1"/>
  <c r="I117" i="32" s="1"/>
  <c r="I150" i="32" s="1"/>
  <c r="J96" i="41"/>
  <c r="H96" i="42"/>
  <c r="H109" i="42" s="1"/>
  <c r="H122" i="42" s="1"/>
  <c r="I122" i="42" s="1"/>
  <c r="I120" i="42" s="1"/>
  <c r="H96" i="41"/>
  <c r="H109" i="41" s="1"/>
  <c r="L96" i="41"/>
  <c r="P96" i="41"/>
  <c r="N96" i="41"/>
  <c r="R96" i="41"/>
  <c r="H96" i="16"/>
  <c r="H109" i="16" s="1"/>
  <c r="H122" i="16" s="1"/>
  <c r="H96" i="35"/>
  <c r="H109" i="35" s="1"/>
  <c r="H122" i="35" s="1"/>
  <c r="H96" i="34"/>
  <c r="H109" i="34" s="1"/>
  <c r="H122" i="34" s="1"/>
  <c r="H96" i="15"/>
  <c r="H109" i="15" s="1"/>
  <c r="H96" i="28"/>
  <c r="H109" i="28" s="1"/>
  <c r="H122" i="28" s="1"/>
  <c r="H96" i="29"/>
  <c r="H109" i="29" s="1"/>
  <c r="H122" i="29" s="1"/>
  <c r="P96" i="15"/>
  <c r="L96" i="15"/>
  <c r="R96" i="15"/>
  <c r="N96" i="15"/>
  <c r="J96" i="15"/>
  <c r="I35" i="16"/>
  <c r="I41" i="16"/>
  <c r="I90" i="16"/>
  <c r="I37" i="16"/>
  <c r="I36" i="16"/>
  <c r="I39" i="16"/>
  <c r="I38" i="16"/>
  <c r="I34" i="16"/>
  <c r="I32" i="16"/>
  <c r="I147" i="16"/>
  <c r="I130" i="16"/>
  <c r="O74" i="15"/>
  <c r="O79" i="15" s="1"/>
  <c r="K74" i="15"/>
  <c r="K79" i="15" s="1"/>
  <c r="I133" i="32" l="1"/>
  <c r="H122" i="15"/>
  <c r="N109" i="15"/>
  <c r="N122" i="15" s="1"/>
  <c r="L109" i="15"/>
  <c r="L122" i="15" s="1"/>
  <c r="J109" i="15"/>
  <c r="J122" i="15" s="1"/>
  <c r="R109" i="15"/>
  <c r="R122" i="15" s="1"/>
  <c r="P109" i="15"/>
  <c r="P122" i="15" s="1"/>
  <c r="N109" i="41"/>
  <c r="N122" i="41" s="1"/>
  <c r="O122" i="41" s="1"/>
  <c r="O120" i="41" s="1"/>
  <c r="H122" i="41"/>
  <c r="I122" i="41" s="1"/>
  <c r="I120" i="41" s="1"/>
  <c r="P109" i="41"/>
  <c r="P122" i="41" s="1"/>
  <c r="Q122" i="41" s="1"/>
  <c r="Q120" i="41" s="1"/>
  <c r="L109" i="41"/>
  <c r="L122" i="41" s="1"/>
  <c r="M122" i="41" s="1"/>
  <c r="M120" i="41" s="1"/>
  <c r="J109" i="41"/>
  <c r="J122" i="41" s="1"/>
  <c r="K122" i="41" s="1"/>
  <c r="K120" i="41" s="1"/>
  <c r="R109" i="41"/>
  <c r="R122" i="41" s="1"/>
  <c r="S122" i="41" s="1"/>
  <c r="S120" i="41" s="1"/>
  <c r="H122" i="32"/>
  <c r="I122" i="32" s="1"/>
  <c r="I120" i="32" s="1"/>
  <c r="H122" i="31"/>
  <c r="I122" i="31" s="1"/>
  <c r="I120" i="31" s="1"/>
  <c r="N109" i="31"/>
  <c r="N122" i="31" s="1"/>
  <c r="O122" i="31" s="1"/>
  <c r="O120" i="31" s="1"/>
  <c r="P109" i="31"/>
  <c r="P122" i="31" s="1"/>
  <c r="Q122" i="31" s="1"/>
  <c r="Q120" i="31" s="1"/>
  <c r="L109" i="31"/>
  <c r="L122" i="31" s="1"/>
  <c r="M122" i="31" s="1"/>
  <c r="M120" i="31" s="1"/>
  <c r="R109" i="31"/>
  <c r="R122" i="31" s="1"/>
  <c r="S122" i="31" s="1"/>
  <c r="S120" i="31" s="1"/>
  <c r="J109" i="31"/>
  <c r="J122" i="31" s="1"/>
  <c r="K122" i="31" s="1"/>
  <c r="K120" i="31" s="1"/>
  <c r="P109" i="37"/>
  <c r="P122" i="37" s="1"/>
  <c r="Q122" i="37" s="1"/>
  <c r="Q120" i="37" s="1"/>
  <c r="N109" i="37"/>
  <c r="N122" i="37" s="1"/>
  <c r="O122" i="37" s="1"/>
  <c r="O120" i="37" s="1"/>
  <c r="H122" i="37"/>
  <c r="I122" i="37" s="1"/>
  <c r="I120" i="37" s="1"/>
  <c r="L109" i="37"/>
  <c r="L122" i="37" s="1"/>
  <c r="M122" i="37" s="1"/>
  <c r="M120" i="37" s="1"/>
  <c r="J109" i="37"/>
  <c r="J122" i="37" s="1"/>
  <c r="K122" i="37" s="1"/>
  <c r="K120" i="37" s="1"/>
  <c r="R109" i="37"/>
  <c r="R122" i="37" s="1"/>
  <c r="S122" i="37" s="1"/>
  <c r="S120" i="37" s="1"/>
  <c r="I150" i="38"/>
  <c r="I133" i="38"/>
  <c r="I150" i="42"/>
  <c r="I133" i="42"/>
  <c r="I33" i="16"/>
  <c r="I40" i="16" s="1"/>
  <c r="I77" i="16" s="1"/>
  <c r="I42" i="16" l="1"/>
  <c r="I43" i="16" s="1"/>
  <c r="I85" i="16" s="1"/>
  <c r="R109" i="4"/>
  <c r="P109" i="4"/>
  <c r="N109" i="4"/>
  <c r="L109" i="4"/>
  <c r="J109" i="4"/>
  <c r="I86" i="16" l="1"/>
  <c r="I87" i="16" s="1"/>
  <c r="I52" i="16"/>
  <c r="I83" i="16"/>
  <c r="I84" i="16" s="1"/>
  <c r="I47" i="16"/>
  <c r="I53" i="16"/>
  <c r="I46" i="16"/>
  <c r="I49" i="16"/>
  <c r="I50" i="16"/>
  <c r="I51" i="16"/>
  <c r="I88" i="16"/>
  <c r="I48" i="16"/>
  <c r="S67" i="4"/>
  <c r="S73" i="4" s="1"/>
  <c r="S66" i="4"/>
  <c r="S72" i="4" s="1"/>
  <c r="S65" i="4"/>
  <c r="S71" i="4" s="1"/>
  <c r="Q67" i="4"/>
  <c r="Q73" i="4" s="1"/>
  <c r="Q66" i="4"/>
  <c r="Q72" i="4" s="1"/>
  <c r="Q65" i="4"/>
  <c r="Q71" i="4" s="1"/>
  <c r="O67" i="4"/>
  <c r="O73" i="4" s="1"/>
  <c r="O66" i="4"/>
  <c r="O72" i="4" s="1"/>
  <c r="O65" i="4"/>
  <c r="O71" i="4" s="1"/>
  <c r="M67" i="4"/>
  <c r="M73" i="4" s="1"/>
  <c r="M66" i="4"/>
  <c r="M72" i="4" s="1"/>
  <c r="M65" i="4"/>
  <c r="M71" i="4" s="1"/>
  <c r="K67" i="4"/>
  <c r="K73" i="4" s="1"/>
  <c r="K66" i="4"/>
  <c r="K72" i="4" s="1"/>
  <c r="K65" i="4"/>
  <c r="K71" i="4" s="1"/>
  <c r="I67" i="4"/>
  <c r="I66" i="4"/>
  <c r="I65" i="4"/>
  <c r="I71" i="4" s="1"/>
  <c r="B67" i="4"/>
  <c r="B66" i="4"/>
  <c r="B65" i="4"/>
  <c r="I89" i="16" l="1"/>
  <c r="I92" i="16" s="1"/>
  <c r="I54" i="16"/>
  <c r="I78" i="16" s="1"/>
  <c r="I80" i="16" s="1"/>
  <c r="I91" i="16" s="1"/>
  <c r="I72" i="4"/>
  <c r="I73" i="4"/>
  <c r="I149" i="16" l="1"/>
  <c r="I132" i="16"/>
  <c r="I93" i="16"/>
  <c r="I104" i="16" s="1"/>
  <c r="I131" i="16"/>
  <c r="I106" i="16"/>
  <c r="I102" i="16"/>
  <c r="I108" i="16"/>
  <c r="I98" i="16"/>
  <c r="I101" i="16"/>
  <c r="I107" i="16"/>
  <c r="I97" i="16"/>
  <c r="I99" i="16"/>
  <c r="I103" i="16"/>
  <c r="I148" i="16"/>
  <c r="R11" i="4"/>
  <c r="R122" i="4" s="1"/>
  <c r="P11" i="4"/>
  <c r="P122" i="4" s="1"/>
  <c r="N11" i="4"/>
  <c r="N122" i="4" s="1"/>
  <c r="L11" i="4"/>
  <c r="L122" i="4" s="1"/>
  <c r="J11" i="4"/>
  <c r="H11" i="4"/>
  <c r="I105" i="16" l="1"/>
  <c r="I100" i="16"/>
  <c r="I96" i="16" s="1"/>
  <c r="I109" i="16" s="1"/>
  <c r="I115" i="16" s="1"/>
  <c r="I117" i="16" s="1"/>
  <c r="J122" i="4"/>
  <c r="H122" i="4"/>
  <c r="H40" i="4"/>
  <c r="D40" i="2"/>
  <c r="C22" i="2" l="1"/>
  <c r="C22" i="14" l="1"/>
  <c r="H28" i="15" s="1"/>
  <c r="I28" i="15" s="1"/>
  <c r="I29" i="15" s="1"/>
  <c r="C22" i="40"/>
  <c r="C22" i="36"/>
  <c r="C22" i="30"/>
  <c r="L28" i="15"/>
  <c r="M28" i="15" s="1"/>
  <c r="M29" i="15" s="1"/>
  <c r="M36" i="15" s="1"/>
  <c r="H28" i="28"/>
  <c r="I28" i="28" s="1"/>
  <c r="I29" i="28" s="1"/>
  <c r="I34" i="28" s="1"/>
  <c r="H28" i="29"/>
  <c r="I28" i="29" s="1"/>
  <c r="I29" i="29" s="1"/>
  <c r="I147" i="29" s="1"/>
  <c r="H28" i="27"/>
  <c r="I28" i="27" s="1"/>
  <c r="I29" i="27" s="1"/>
  <c r="I38" i="28"/>
  <c r="I36" i="28"/>
  <c r="I32" i="28"/>
  <c r="I37" i="28"/>
  <c r="I150" i="16"/>
  <c r="I133" i="16"/>
  <c r="N28" i="4"/>
  <c r="L28" i="4"/>
  <c r="H28" i="4"/>
  <c r="P28" i="4"/>
  <c r="R28" i="4"/>
  <c r="J28" i="4"/>
  <c r="D42" i="2"/>
  <c r="D43" i="2"/>
  <c r="D41" i="2"/>
  <c r="D44" i="2" s="1"/>
  <c r="E13" i="1"/>
  <c r="E12" i="1"/>
  <c r="E11" i="1"/>
  <c r="E10" i="1"/>
  <c r="E9" i="1"/>
  <c r="E8" i="1"/>
  <c r="E7" i="1"/>
  <c r="I37" i="15" l="1"/>
  <c r="I39" i="15"/>
  <c r="I90" i="15"/>
  <c r="I34" i="15"/>
  <c r="I36" i="15"/>
  <c r="I130" i="28"/>
  <c r="N28" i="15"/>
  <c r="O28" i="15" s="1"/>
  <c r="O29" i="15" s="1"/>
  <c r="H28" i="35"/>
  <c r="I28" i="35" s="1"/>
  <c r="I29" i="35" s="1"/>
  <c r="I90" i="35" s="1"/>
  <c r="I39" i="28"/>
  <c r="J28" i="15"/>
  <c r="K28" i="15" s="1"/>
  <c r="K29" i="15" s="1"/>
  <c r="K34" i="15" s="1"/>
  <c r="H28" i="34"/>
  <c r="I28" i="34" s="1"/>
  <c r="I29" i="34" s="1"/>
  <c r="I90" i="28"/>
  <c r="P28" i="15"/>
  <c r="Q28" i="15" s="1"/>
  <c r="Q29" i="15" s="1"/>
  <c r="I147" i="28"/>
  <c r="I35" i="28"/>
  <c r="R28" i="15"/>
  <c r="S28" i="15" s="1"/>
  <c r="S29" i="15" s="1"/>
  <c r="S36" i="15" s="1"/>
  <c r="I41" i="28"/>
  <c r="M38" i="15"/>
  <c r="M34" i="15"/>
  <c r="M32" i="15"/>
  <c r="R28" i="37"/>
  <c r="S28" i="37" s="1"/>
  <c r="S29" i="37" s="1"/>
  <c r="L28" i="37"/>
  <c r="M28" i="37" s="1"/>
  <c r="M29" i="37" s="1"/>
  <c r="J28" i="37"/>
  <c r="K28" i="37" s="1"/>
  <c r="K29" i="37" s="1"/>
  <c r="N28" i="37"/>
  <c r="O28" i="37" s="1"/>
  <c r="O29" i="37" s="1"/>
  <c r="H28" i="37"/>
  <c r="I28" i="37" s="1"/>
  <c r="I29" i="37" s="1"/>
  <c r="P28" i="37"/>
  <c r="Q28" i="37" s="1"/>
  <c r="Q29" i="37" s="1"/>
  <c r="M147" i="15"/>
  <c r="N28" i="41"/>
  <c r="O28" i="41" s="1"/>
  <c r="O29" i="41" s="1"/>
  <c r="R28" i="41"/>
  <c r="S28" i="41" s="1"/>
  <c r="S29" i="41" s="1"/>
  <c r="L28" i="41"/>
  <c r="M28" i="41" s="1"/>
  <c r="M29" i="41" s="1"/>
  <c r="H28" i="41"/>
  <c r="I28" i="41" s="1"/>
  <c r="I29" i="41" s="1"/>
  <c r="J28" i="41"/>
  <c r="K28" i="41" s="1"/>
  <c r="K29" i="41" s="1"/>
  <c r="P28" i="41"/>
  <c r="Q28" i="41" s="1"/>
  <c r="Q29" i="41" s="1"/>
  <c r="M41" i="15"/>
  <c r="L28" i="31"/>
  <c r="M28" i="31" s="1"/>
  <c r="M29" i="31" s="1"/>
  <c r="H28" i="31"/>
  <c r="I28" i="31" s="1"/>
  <c r="I29" i="31" s="1"/>
  <c r="P28" i="31"/>
  <c r="Q28" i="31" s="1"/>
  <c r="Q29" i="31" s="1"/>
  <c r="R28" i="31"/>
  <c r="S28" i="31" s="1"/>
  <c r="S29" i="31" s="1"/>
  <c r="N28" i="31"/>
  <c r="O28" i="31" s="1"/>
  <c r="O29" i="31" s="1"/>
  <c r="J28" i="31"/>
  <c r="K28" i="31" s="1"/>
  <c r="K29" i="31" s="1"/>
  <c r="I41" i="15"/>
  <c r="I35" i="29"/>
  <c r="I90" i="29"/>
  <c r="I35" i="15"/>
  <c r="I34" i="29"/>
  <c r="I32" i="15"/>
  <c r="I130" i="29"/>
  <c r="I147" i="15"/>
  <c r="I38" i="15"/>
  <c r="I130" i="15"/>
  <c r="K130" i="15"/>
  <c r="K39" i="15"/>
  <c r="K35" i="15"/>
  <c r="Q32" i="15"/>
  <c r="K147" i="15"/>
  <c r="I41" i="29"/>
  <c r="I39" i="29"/>
  <c r="M90" i="15"/>
  <c r="M35" i="15"/>
  <c r="Q39" i="15"/>
  <c r="K36" i="15"/>
  <c r="K32" i="15"/>
  <c r="M37" i="15"/>
  <c r="Q36" i="15"/>
  <c r="K41" i="15"/>
  <c r="I37" i="29"/>
  <c r="I38" i="29"/>
  <c r="M130" i="15"/>
  <c r="K90" i="15"/>
  <c r="I32" i="29"/>
  <c r="I36" i="29"/>
  <c r="M39" i="15"/>
  <c r="K37" i="15"/>
  <c r="K38" i="15"/>
  <c r="Q130" i="15"/>
  <c r="I33" i="28"/>
  <c r="I40" i="28" s="1"/>
  <c r="I36" i="27"/>
  <c r="I39" i="27"/>
  <c r="I41" i="27"/>
  <c r="I38" i="27"/>
  <c r="I147" i="27"/>
  <c r="I130" i="27"/>
  <c r="I90" i="27"/>
  <c r="I34" i="27"/>
  <c r="I35" i="27"/>
  <c r="I32" i="27"/>
  <c r="I37" i="27"/>
  <c r="E14" i="1"/>
  <c r="R156" i="4"/>
  <c r="P156" i="4"/>
  <c r="N156" i="4"/>
  <c r="L156" i="4"/>
  <c r="J156" i="4"/>
  <c r="H156" i="4"/>
  <c r="I36" i="35" l="1"/>
  <c r="S90" i="15"/>
  <c r="O36" i="15"/>
  <c r="O35" i="15"/>
  <c r="O130" i="15"/>
  <c r="O32" i="15"/>
  <c r="O90" i="15"/>
  <c r="O34" i="15"/>
  <c r="O33" i="15" s="1"/>
  <c r="O40" i="15" s="1"/>
  <c r="O42" i="15" s="1"/>
  <c r="O43" i="15" s="1"/>
  <c r="O147" i="15"/>
  <c r="O39" i="15"/>
  <c r="O37" i="15"/>
  <c r="O41" i="15"/>
  <c r="O38" i="15"/>
  <c r="I34" i="35"/>
  <c r="I33" i="35" s="1"/>
  <c r="I40" i="35" s="1"/>
  <c r="I77" i="35" s="1"/>
  <c r="I130" i="35"/>
  <c r="S35" i="15"/>
  <c r="Q35" i="15"/>
  <c r="Q33" i="15" s="1"/>
  <c r="Q40" i="15" s="1"/>
  <c r="Q77" i="15" s="1"/>
  <c r="Q38" i="15"/>
  <c r="Q34" i="15"/>
  <c r="Q90" i="15"/>
  <c r="Q147" i="15"/>
  <c r="Q41" i="15"/>
  <c r="Q37" i="15"/>
  <c r="I38" i="35"/>
  <c r="S38" i="15"/>
  <c r="S39" i="15"/>
  <c r="S32" i="15"/>
  <c r="I35" i="35"/>
  <c r="I37" i="35"/>
  <c r="I39" i="35"/>
  <c r="S37" i="15"/>
  <c r="S130" i="15"/>
  <c r="I37" i="34"/>
  <c r="I34" i="34"/>
  <c r="I35" i="34"/>
  <c r="I130" i="34"/>
  <c r="I38" i="34"/>
  <c r="I41" i="34"/>
  <c r="I90" i="34"/>
  <c r="I32" i="34"/>
  <c r="I39" i="34"/>
  <c r="I147" i="34"/>
  <c r="I36" i="34"/>
  <c r="S41" i="15"/>
  <c r="S147" i="15"/>
  <c r="I41" i="35"/>
  <c r="I147" i="35"/>
  <c r="S34" i="15"/>
  <c r="I32" i="35"/>
  <c r="K130" i="41"/>
  <c r="K38" i="41"/>
  <c r="K34" i="41"/>
  <c r="K39" i="41"/>
  <c r="K147" i="41"/>
  <c r="K41" i="41"/>
  <c r="K36" i="41"/>
  <c r="K35" i="41"/>
  <c r="K37" i="41"/>
  <c r="K32" i="41"/>
  <c r="K90" i="41"/>
  <c r="O130" i="37"/>
  <c r="O38" i="37"/>
  <c r="O39" i="37"/>
  <c r="O32" i="37"/>
  <c r="O90" i="37"/>
  <c r="O41" i="37"/>
  <c r="O34" i="37"/>
  <c r="O37" i="37"/>
  <c r="O147" i="37"/>
  <c r="O35" i="37"/>
  <c r="O36" i="37"/>
  <c r="I39" i="41"/>
  <c r="I35" i="41"/>
  <c r="I147" i="41"/>
  <c r="I32" i="41"/>
  <c r="I90" i="41"/>
  <c r="I34" i="41"/>
  <c r="I130" i="41"/>
  <c r="I37" i="41"/>
  <c r="I41" i="41"/>
  <c r="I38" i="41"/>
  <c r="I36" i="41"/>
  <c r="K41" i="37"/>
  <c r="K38" i="37"/>
  <c r="K130" i="37"/>
  <c r="K147" i="37"/>
  <c r="K37" i="37"/>
  <c r="K39" i="37"/>
  <c r="K34" i="37"/>
  <c r="K33" i="37" s="1"/>
  <c r="K40" i="37" s="1"/>
  <c r="K77" i="37" s="1"/>
  <c r="K36" i="37"/>
  <c r="K90" i="37"/>
  <c r="K35" i="37"/>
  <c r="K32" i="37"/>
  <c r="M147" i="41"/>
  <c r="M34" i="41"/>
  <c r="M32" i="41"/>
  <c r="M41" i="41"/>
  <c r="M38" i="41"/>
  <c r="M39" i="41"/>
  <c r="M37" i="41"/>
  <c r="M36" i="41"/>
  <c r="M35" i="41"/>
  <c r="M90" i="41"/>
  <c r="M130" i="41"/>
  <c r="M38" i="37"/>
  <c r="M37" i="37"/>
  <c r="M41" i="37"/>
  <c r="M36" i="37"/>
  <c r="M35" i="37"/>
  <c r="M90" i="37"/>
  <c r="M34" i="37"/>
  <c r="M39" i="37"/>
  <c r="M147" i="37"/>
  <c r="M130" i="37"/>
  <c r="M32" i="37"/>
  <c r="S147" i="41"/>
  <c r="S34" i="41"/>
  <c r="S41" i="41"/>
  <c r="S37" i="41"/>
  <c r="S38" i="41"/>
  <c r="S35" i="41"/>
  <c r="S130" i="41"/>
  <c r="S39" i="41"/>
  <c r="S36" i="41"/>
  <c r="S32" i="41"/>
  <c r="S90" i="41"/>
  <c r="S130" i="37"/>
  <c r="S37" i="37"/>
  <c r="S90" i="37"/>
  <c r="S35" i="37"/>
  <c r="S32" i="37"/>
  <c r="S36" i="37"/>
  <c r="S38" i="37"/>
  <c r="S147" i="37"/>
  <c r="S41" i="37"/>
  <c r="S39" i="37"/>
  <c r="S34" i="37"/>
  <c r="S33" i="37" s="1"/>
  <c r="S40" i="37" s="1"/>
  <c r="S77" i="37" s="1"/>
  <c r="Q36" i="41"/>
  <c r="Q32" i="41"/>
  <c r="Q34" i="41"/>
  <c r="Q39" i="41"/>
  <c r="Q147" i="41"/>
  <c r="Q130" i="41"/>
  <c r="Q38" i="41"/>
  <c r="Q41" i="41"/>
  <c r="Q35" i="41"/>
  <c r="Q37" i="41"/>
  <c r="Q90" i="41"/>
  <c r="O41" i="41"/>
  <c r="O147" i="41"/>
  <c r="O32" i="41"/>
  <c r="O38" i="41"/>
  <c r="O37" i="41"/>
  <c r="O35" i="41"/>
  <c r="O39" i="41"/>
  <c r="O34" i="41"/>
  <c r="O130" i="41"/>
  <c r="O36" i="41"/>
  <c r="O90" i="41"/>
  <c r="I41" i="37"/>
  <c r="I90" i="37"/>
  <c r="I130" i="37"/>
  <c r="I37" i="37"/>
  <c r="I147" i="37"/>
  <c r="I38" i="37"/>
  <c r="I34" i="37"/>
  <c r="I36" i="37"/>
  <c r="I39" i="37"/>
  <c r="I32" i="37"/>
  <c r="I35" i="37"/>
  <c r="I33" i="15"/>
  <c r="Q130" i="37"/>
  <c r="Q147" i="37"/>
  <c r="Q90" i="37"/>
  <c r="Q38" i="37"/>
  <c r="Q32" i="37"/>
  <c r="Q34" i="37"/>
  <c r="Q33" i="37" s="1"/>
  <c r="Q40" i="37" s="1"/>
  <c r="Q77" i="37" s="1"/>
  <c r="Q41" i="37"/>
  <c r="Q35" i="37"/>
  <c r="Q39" i="37"/>
  <c r="Q36" i="37"/>
  <c r="Q37" i="37"/>
  <c r="S39" i="31"/>
  <c r="S35" i="31"/>
  <c r="S34" i="31"/>
  <c r="S147" i="31"/>
  <c r="S32" i="31"/>
  <c r="S130" i="31"/>
  <c r="S37" i="31"/>
  <c r="S36" i="31"/>
  <c r="S38" i="31"/>
  <c r="S41" i="31"/>
  <c r="S90" i="31"/>
  <c r="Q39" i="31"/>
  <c r="Q41" i="31"/>
  <c r="Q35" i="31"/>
  <c r="Q34" i="31"/>
  <c r="Q36" i="31"/>
  <c r="Q38" i="31"/>
  <c r="Q90" i="31"/>
  <c r="Q37" i="31"/>
  <c r="Q130" i="31"/>
  <c r="Q32" i="31"/>
  <c r="Q147" i="31"/>
  <c r="I39" i="31"/>
  <c r="I32" i="31"/>
  <c r="I35" i="31"/>
  <c r="I147" i="31"/>
  <c r="I90" i="31"/>
  <c r="I36" i="31"/>
  <c r="I130" i="31"/>
  <c r="I38" i="31"/>
  <c r="I41" i="31"/>
  <c r="I37" i="31"/>
  <c r="I34" i="31"/>
  <c r="M39" i="31"/>
  <c r="M90" i="31"/>
  <c r="M32" i="31"/>
  <c r="M41" i="31"/>
  <c r="M36" i="31"/>
  <c r="M35" i="31"/>
  <c r="M147" i="31"/>
  <c r="M37" i="31"/>
  <c r="M130" i="31"/>
  <c r="M38" i="31"/>
  <c r="M34" i="31"/>
  <c r="O36" i="31"/>
  <c r="O147" i="31"/>
  <c r="O37" i="31"/>
  <c r="O41" i="31"/>
  <c r="O38" i="31"/>
  <c r="O130" i="31"/>
  <c r="O39" i="31"/>
  <c r="O90" i="31"/>
  <c r="O32" i="31"/>
  <c r="O34" i="31"/>
  <c r="O35" i="31"/>
  <c r="K37" i="31"/>
  <c r="K90" i="31"/>
  <c r="K35" i="31"/>
  <c r="K147" i="31"/>
  <c r="K36" i="31"/>
  <c r="K34" i="31"/>
  <c r="K38" i="31"/>
  <c r="K39" i="31"/>
  <c r="K32" i="31"/>
  <c r="K41" i="31"/>
  <c r="K130" i="31"/>
  <c r="S33" i="15"/>
  <c r="S40" i="15" s="1"/>
  <c r="S42" i="15" s="1"/>
  <c r="S43" i="15" s="1"/>
  <c r="S86" i="15" s="1"/>
  <c r="S87" i="15" s="1"/>
  <c r="I40" i="15"/>
  <c r="I42" i="15" s="1"/>
  <c r="I43" i="15" s="1"/>
  <c r="D45" i="2"/>
  <c r="D46" i="2" s="1"/>
  <c r="I33" i="29"/>
  <c r="I40" i="29" s="1"/>
  <c r="I42" i="29" s="1"/>
  <c r="I43" i="29" s="1"/>
  <c r="M33" i="15"/>
  <c r="M40" i="15" s="1"/>
  <c r="M77" i="15" s="1"/>
  <c r="K33" i="15"/>
  <c r="K40" i="15" s="1"/>
  <c r="K77" i="15" s="1"/>
  <c r="I33" i="27"/>
  <c r="I40" i="27" s="1"/>
  <c r="I42" i="27" s="1"/>
  <c r="I43" i="27" s="1"/>
  <c r="I77" i="15"/>
  <c r="I42" i="28"/>
  <c r="I43" i="28" s="1"/>
  <c r="I77" i="28"/>
  <c r="D13" i="1"/>
  <c r="R143" i="4"/>
  <c r="P143" i="4"/>
  <c r="N143" i="4"/>
  <c r="L143" i="4"/>
  <c r="J143" i="4"/>
  <c r="H143" i="4"/>
  <c r="R142" i="4"/>
  <c r="P142" i="4"/>
  <c r="N142" i="4"/>
  <c r="L142" i="4"/>
  <c r="J142" i="4"/>
  <c r="R141" i="4"/>
  <c r="P141" i="4"/>
  <c r="N141" i="4"/>
  <c r="L141" i="4"/>
  <c r="J141" i="4"/>
  <c r="R62" i="4"/>
  <c r="S61" i="4" s="1"/>
  <c r="P62" i="4"/>
  <c r="Q61" i="4" s="1"/>
  <c r="N62" i="4"/>
  <c r="O61" i="4" s="1"/>
  <c r="L62" i="4"/>
  <c r="M61" i="4" s="1"/>
  <c r="J62" i="4"/>
  <c r="K61" i="4" s="1"/>
  <c r="H62" i="4"/>
  <c r="I61" i="4" s="1"/>
  <c r="R58" i="4"/>
  <c r="P58" i="4"/>
  <c r="N58" i="4"/>
  <c r="L58" i="4"/>
  <c r="J58" i="4"/>
  <c r="H58" i="4"/>
  <c r="R53" i="4"/>
  <c r="P53" i="4"/>
  <c r="N53" i="4"/>
  <c r="L53" i="4"/>
  <c r="J53" i="4"/>
  <c r="H53" i="4"/>
  <c r="R52" i="4"/>
  <c r="P52" i="4"/>
  <c r="N52" i="4"/>
  <c r="L52" i="4"/>
  <c r="J52" i="4"/>
  <c r="H52" i="4"/>
  <c r="R51" i="4"/>
  <c r="P51" i="4"/>
  <c r="N51" i="4"/>
  <c r="L51" i="4"/>
  <c r="J51" i="4"/>
  <c r="H51" i="4"/>
  <c r="R50" i="4"/>
  <c r="P50" i="4"/>
  <c r="N50" i="4"/>
  <c r="L50" i="4"/>
  <c r="J50" i="4"/>
  <c r="H50" i="4"/>
  <c r="R49" i="4"/>
  <c r="P49" i="4"/>
  <c r="N49" i="4"/>
  <c r="L49" i="4"/>
  <c r="J49" i="4"/>
  <c r="H49" i="4"/>
  <c r="R48" i="4"/>
  <c r="P48" i="4"/>
  <c r="N48" i="4"/>
  <c r="L48" i="4"/>
  <c r="J48" i="4"/>
  <c r="H48" i="4"/>
  <c r="R47" i="4"/>
  <c r="P47" i="4"/>
  <c r="N47" i="4"/>
  <c r="L47" i="4"/>
  <c r="J47" i="4"/>
  <c r="H47" i="4"/>
  <c r="R46" i="4"/>
  <c r="P46" i="4"/>
  <c r="N46" i="4"/>
  <c r="L46" i="4"/>
  <c r="J46" i="4"/>
  <c r="H46" i="4"/>
  <c r="R16" i="4"/>
  <c r="P16" i="4"/>
  <c r="N16" i="4"/>
  <c r="L16" i="4"/>
  <c r="J16" i="4"/>
  <c r="H16" i="4"/>
  <c r="R17" i="4"/>
  <c r="S23" i="4" s="1"/>
  <c r="P17" i="4"/>
  <c r="Q23" i="4" s="1"/>
  <c r="N17" i="4"/>
  <c r="O23" i="4" s="1"/>
  <c r="L17" i="4"/>
  <c r="M23" i="4" s="1"/>
  <c r="J17" i="4"/>
  <c r="K23" i="4" s="1"/>
  <c r="H17" i="4"/>
  <c r="I23" i="4" s="1"/>
  <c r="R9" i="4"/>
  <c r="P9" i="4"/>
  <c r="N9" i="4"/>
  <c r="L9" i="4"/>
  <c r="J9" i="4"/>
  <c r="H9" i="4"/>
  <c r="R8" i="4"/>
  <c r="D12" i="1" s="1"/>
  <c r="P8" i="4"/>
  <c r="D11" i="1" s="1"/>
  <c r="N8" i="4"/>
  <c r="D10" i="1" s="1"/>
  <c r="L8" i="4"/>
  <c r="D9" i="1" s="1"/>
  <c r="J8" i="4"/>
  <c r="D8" i="1" s="1"/>
  <c r="H8" i="4"/>
  <c r="D7" i="1" s="1"/>
  <c r="H156" i="5"/>
  <c r="S112" i="4"/>
  <c r="S116" i="4" s="1"/>
  <c r="Q112" i="4"/>
  <c r="Q116" i="4" s="1"/>
  <c r="O112" i="4"/>
  <c r="O116" i="4" s="1"/>
  <c r="M112" i="4"/>
  <c r="M116" i="4" s="1"/>
  <c r="K112" i="4"/>
  <c r="K116" i="4" s="1"/>
  <c r="I112" i="4"/>
  <c r="I116" i="4" s="1"/>
  <c r="E54" i="2"/>
  <c r="F54" i="2" s="1"/>
  <c r="G54" i="2" s="1"/>
  <c r="D50" i="2"/>
  <c r="H18" i="5"/>
  <c r="O77" i="15" l="1"/>
  <c r="M33" i="41"/>
  <c r="M40" i="41" s="1"/>
  <c r="M42" i="15"/>
  <c r="M43" i="15" s="1"/>
  <c r="I33" i="34"/>
  <c r="I40" i="34" s="1"/>
  <c r="S52" i="15"/>
  <c r="M33" i="37"/>
  <c r="M40" i="37" s="1"/>
  <c r="S50" i="15"/>
  <c r="S53" i="15"/>
  <c r="S49" i="15"/>
  <c r="K42" i="37"/>
  <c r="K43" i="37" s="1"/>
  <c r="I33" i="37"/>
  <c r="I40" i="37" s="1"/>
  <c r="S47" i="15"/>
  <c r="S83" i="15"/>
  <c r="S84" i="15" s="1"/>
  <c r="Q42" i="37"/>
  <c r="Q43" i="37" s="1"/>
  <c r="S42" i="37"/>
  <c r="S43" i="37" s="1"/>
  <c r="S33" i="41"/>
  <c r="S40" i="41" s="1"/>
  <c r="I33" i="41"/>
  <c r="I40" i="41" s="1"/>
  <c r="S51" i="15"/>
  <c r="S88" i="15"/>
  <c r="O33" i="41"/>
  <c r="O40" i="41" s="1"/>
  <c r="Q33" i="41"/>
  <c r="Q40" i="41" s="1"/>
  <c r="K33" i="41"/>
  <c r="K40" i="41" s="1"/>
  <c r="O33" i="37"/>
  <c r="O40" i="37" s="1"/>
  <c r="S46" i="15"/>
  <c r="S77" i="15"/>
  <c r="S48" i="15"/>
  <c r="S85" i="15"/>
  <c r="I77" i="29"/>
  <c r="Q33" i="31"/>
  <c r="Q40" i="31" s="1"/>
  <c r="O33" i="31"/>
  <c r="O40" i="31" s="1"/>
  <c r="K33" i="31"/>
  <c r="K40" i="31" s="1"/>
  <c r="M33" i="31"/>
  <c r="M40" i="31" s="1"/>
  <c r="S33" i="31"/>
  <c r="S40" i="31" s="1"/>
  <c r="I33" i="31"/>
  <c r="I40" i="31" s="1"/>
  <c r="I69" i="4"/>
  <c r="I68" i="4"/>
  <c r="K69" i="4"/>
  <c r="K68" i="4"/>
  <c r="I127" i="42"/>
  <c r="I125" i="42" s="1"/>
  <c r="I127" i="41"/>
  <c r="I125" i="41" s="1"/>
  <c r="O127" i="41"/>
  <c r="O125" i="41" s="1"/>
  <c r="Q127" i="41"/>
  <c r="Q125" i="41" s="1"/>
  <c r="M127" i="41"/>
  <c r="M125" i="41" s="1"/>
  <c r="K127" i="41"/>
  <c r="K125" i="41" s="1"/>
  <c r="S127" i="41"/>
  <c r="S125" i="41" s="1"/>
  <c r="I127" i="32"/>
  <c r="I125" i="32" s="1"/>
  <c r="S127" i="31"/>
  <c r="S125" i="31" s="1"/>
  <c r="S126" i="4"/>
  <c r="Q127" i="31"/>
  <c r="Q125" i="31" s="1"/>
  <c r="Q126" i="4"/>
  <c r="O127" i="31"/>
  <c r="O125" i="31" s="1"/>
  <c r="O126" i="4"/>
  <c r="M127" i="31"/>
  <c r="M125" i="31" s="1"/>
  <c r="M126" i="4"/>
  <c r="Q127" i="4"/>
  <c r="I127" i="37"/>
  <c r="I125" i="37" s="1"/>
  <c r="I127" i="38"/>
  <c r="I125" i="38" s="1"/>
  <c r="K127" i="37"/>
  <c r="K125" i="37" s="1"/>
  <c r="O127" i="37"/>
  <c r="O125" i="37" s="1"/>
  <c r="M127" i="37"/>
  <c r="M125" i="37" s="1"/>
  <c r="Q127" i="37"/>
  <c r="Q125" i="37" s="1"/>
  <c r="S127" i="37"/>
  <c r="S125" i="37" s="1"/>
  <c r="K127" i="31"/>
  <c r="K125" i="31" s="1"/>
  <c r="M127" i="15"/>
  <c r="M125" i="15" s="1"/>
  <c r="Q127" i="15"/>
  <c r="Q125" i="15" s="1"/>
  <c r="S127" i="15"/>
  <c r="S125" i="15" s="1"/>
  <c r="O127" i="15"/>
  <c r="O125" i="15" s="1"/>
  <c r="I126" i="27"/>
  <c r="K127" i="15"/>
  <c r="K125" i="15" s="1"/>
  <c r="I127" i="16"/>
  <c r="I125" i="16" s="1"/>
  <c r="I127" i="15"/>
  <c r="I125" i="15" s="1"/>
  <c r="I127" i="28"/>
  <c r="I125" i="28" s="1"/>
  <c r="I127" i="34"/>
  <c r="I125" i="34" s="1"/>
  <c r="I127" i="29"/>
  <c r="I125" i="29" s="1"/>
  <c r="I127" i="35"/>
  <c r="I125" i="35" s="1"/>
  <c r="I127" i="27"/>
  <c r="I125" i="27" s="1"/>
  <c r="I127" i="31"/>
  <c r="I125" i="31" s="1"/>
  <c r="K126" i="4"/>
  <c r="I126" i="5"/>
  <c r="I126" i="4"/>
  <c r="I127" i="4" s="1"/>
  <c r="I125" i="4" s="1"/>
  <c r="M69" i="4"/>
  <c r="M68" i="4"/>
  <c r="I42" i="35"/>
  <c r="I43" i="35" s="1"/>
  <c r="I88" i="35" s="1"/>
  <c r="O69" i="4"/>
  <c r="O68" i="4"/>
  <c r="Q69" i="4"/>
  <c r="Q68" i="4"/>
  <c r="K42" i="15"/>
  <c r="K43" i="15" s="1"/>
  <c r="K83" i="15" s="1"/>
  <c r="K84" i="15" s="1"/>
  <c r="I124" i="5"/>
  <c r="K124" i="4"/>
  <c r="O124" i="4"/>
  <c r="S124" i="4"/>
  <c r="M124" i="4"/>
  <c r="Q124" i="4"/>
  <c r="I124" i="4"/>
  <c r="I124" i="27"/>
  <c r="D50" i="14"/>
  <c r="S68" i="4"/>
  <c r="S69" i="4"/>
  <c r="Q42" i="15"/>
  <c r="Q43" i="15" s="1"/>
  <c r="Q51" i="15" s="1"/>
  <c r="M121" i="15"/>
  <c r="I121" i="29"/>
  <c r="Q123" i="15"/>
  <c r="I123" i="28"/>
  <c r="I122" i="35"/>
  <c r="I121" i="35"/>
  <c r="I121" i="28"/>
  <c r="M123" i="15"/>
  <c r="I122" i="34"/>
  <c r="S122" i="15"/>
  <c r="I121" i="16"/>
  <c r="O121" i="15"/>
  <c r="K123" i="15"/>
  <c r="I122" i="29"/>
  <c r="S121" i="15"/>
  <c r="M122" i="15"/>
  <c r="I123" i="16"/>
  <c r="O123" i="15"/>
  <c r="I122" i="28"/>
  <c r="K121" i="15"/>
  <c r="S123" i="15"/>
  <c r="K122" i="15"/>
  <c r="I121" i="15"/>
  <c r="I123" i="34"/>
  <c r="Q122" i="15"/>
  <c r="I121" i="34"/>
  <c r="Q121" i="15"/>
  <c r="I123" i="29"/>
  <c r="O122" i="15"/>
  <c r="I123" i="35"/>
  <c r="I123" i="15"/>
  <c r="I122" i="15"/>
  <c r="I122" i="16"/>
  <c r="I50" i="35"/>
  <c r="I77" i="27"/>
  <c r="K85" i="37"/>
  <c r="K46" i="37"/>
  <c r="K53" i="37"/>
  <c r="K86" i="37"/>
  <c r="K87" i="37" s="1"/>
  <c r="K51" i="37"/>
  <c r="K83" i="37"/>
  <c r="K49" i="37"/>
  <c r="K47" i="37"/>
  <c r="K88" i="37"/>
  <c r="K52" i="37"/>
  <c r="K50" i="37"/>
  <c r="K48" i="37"/>
  <c r="Q85" i="37"/>
  <c r="Q49" i="37"/>
  <c r="Q51" i="37"/>
  <c r="Q46" i="37"/>
  <c r="Q47" i="37"/>
  <c r="Q52" i="37"/>
  <c r="Q88" i="37"/>
  <c r="Q48" i="37"/>
  <c r="Q83" i="37"/>
  <c r="Q86" i="37"/>
  <c r="Q87" i="37" s="1"/>
  <c r="Q53" i="37"/>
  <c r="Q50" i="37"/>
  <c r="S51" i="37"/>
  <c r="S83" i="37"/>
  <c r="S84" i="37" s="1"/>
  <c r="S49" i="37"/>
  <c r="S47" i="37"/>
  <c r="S52" i="37"/>
  <c r="S53" i="37"/>
  <c r="S50" i="37"/>
  <c r="S88" i="37"/>
  <c r="S48" i="37"/>
  <c r="S86" i="37"/>
  <c r="S87" i="37" s="1"/>
  <c r="S85" i="37"/>
  <c r="S46" i="37"/>
  <c r="I121" i="5"/>
  <c r="I123" i="5"/>
  <c r="I122" i="5"/>
  <c r="K123" i="4"/>
  <c r="Q121" i="4"/>
  <c r="I123" i="4"/>
  <c r="M123" i="4"/>
  <c r="O121" i="4"/>
  <c r="I121" i="4"/>
  <c r="I122" i="4"/>
  <c r="M121" i="4"/>
  <c r="O123" i="4"/>
  <c r="O122" i="4"/>
  <c r="K121" i="4"/>
  <c r="S123" i="4"/>
  <c r="Q123" i="4"/>
  <c r="S121" i="4"/>
  <c r="K122" i="4"/>
  <c r="M122" i="4"/>
  <c r="S122" i="4"/>
  <c r="Q122" i="4"/>
  <c r="I123" i="27"/>
  <c r="I121" i="27"/>
  <c r="I122" i="27"/>
  <c r="M86" i="15"/>
  <c r="M87" i="15" s="1"/>
  <c r="M83" i="15"/>
  <c r="M84" i="15" s="1"/>
  <c r="M88" i="15"/>
  <c r="M85" i="15"/>
  <c r="O85" i="15"/>
  <c r="O86" i="15"/>
  <c r="O87" i="15" s="1"/>
  <c r="O83" i="15"/>
  <c r="O84" i="15" s="1"/>
  <c r="O88" i="15"/>
  <c r="I53" i="15"/>
  <c r="I50" i="15"/>
  <c r="I48" i="15"/>
  <c r="I49" i="15"/>
  <c r="I46" i="15"/>
  <c r="I51" i="15"/>
  <c r="I47" i="15"/>
  <c r="I86" i="15"/>
  <c r="I87" i="15" s="1"/>
  <c r="I83" i="15"/>
  <c r="I84" i="15" s="1"/>
  <c r="I52" i="15"/>
  <c r="I85" i="15"/>
  <c r="I88" i="15"/>
  <c r="I52" i="28"/>
  <c r="I51" i="28"/>
  <c r="I50" i="28"/>
  <c r="I86" i="28"/>
  <c r="I87" i="28" s="1"/>
  <c r="I88" i="28"/>
  <c r="I53" i="28"/>
  <c r="I48" i="28"/>
  <c r="I83" i="28"/>
  <c r="I84" i="28" s="1"/>
  <c r="I46" i="28"/>
  <c r="I47" i="28"/>
  <c r="I85" i="28"/>
  <c r="I49" i="28"/>
  <c r="I53" i="29"/>
  <c r="I86" i="29"/>
  <c r="I87" i="29" s="1"/>
  <c r="I49" i="29"/>
  <c r="I51" i="29"/>
  <c r="I52" i="29"/>
  <c r="I50" i="29"/>
  <c r="I47" i="29"/>
  <c r="I48" i="29"/>
  <c r="I85" i="29"/>
  <c r="I83" i="29"/>
  <c r="I84" i="29" s="1"/>
  <c r="I46" i="29"/>
  <c r="I88" i="29"/>
  <c r="I88" i="27"/>
  <c r="I50" i="27"/>
  <c r="I85" i="27"/>
  <c r="I48" i="27"/>
  <c r="I49" i="27"/>
  <c r="I46" i="27"/>
  <c r="I86" i="27"/>
  <c r="I87" i="27" s="1"/>
  <c r="I53" i="27"/>
  <c r="I83" i="27"/>
  <c r="I84" i="27" s="1"/>
  <c r="I51" i="27"/>
  <c r="I47" i="27"/>
  <c r="I52" i="27"/>
  <c r="S54" i="15"/>
  <c r="S78" i="15" s="1"/>
  <c r="S80" i="15" s="1"/>
  <c r="M47" i="15"/>
  <c r="M53" i="15"/>
  <c r="M48" i="15"/>
  <c r="M52" i="15"/>
  <c r="M46" i="15"/>
  <c r="M50" i="15"/>
  <c r="M51" i="15"/>
  <c r="M49" i="15"/>
  <c r="Q49" i="15"/>
  <c r="O47" i="15"/>
  <c r="O46" i="15"/>
  <c r="O50" i="15"/>
  <c r="O53" i="15"/>
  <c r="O52" i="15"/>
  <c r="O48" i="15"/>
  <c r="O51" i="15"/>
  <c r="O49" i="15"/>
  <c r="K70" i="4"/>
  <c r="M70" i="4"/>
  <c r="O70" i="4"/>
  <c r="Q70" i="4"/>
  <c r="S70" i="4"/>
  <c r="I70" i="4"/>
  <c r="H54" i="4"/>
  <c r="H87" i="4" s="1"/>
  <c r="I57" i="4"/>
  <c r="S24" i="4"/>
  <c r="S28" i="4" s="1"/>
  <c r="I24" i="4"/>
  <c r="M24" i="4"/>
  <c r="M28" i="4" s="1"/>
  <c r="Q24" i="4"/>
  <c r="Q28" i="4" s="1"/>
  <c r="K57" i="4"/>
  <c r="N54" i="4"/>
  <c r="N87" i="4" s="1"/>
  <c r="R54" i="4"/>
  <c r="R87" i="4" s="1"/>
  <c r="J54" i="4"/>
  <c r="J87" i="4" s="1"/>
  <c r="H140" i="4"/>
  <c r="N140" i="4"/>
  <c r="L140" i="4"/>
  <c r="P140" i="4"/>
  <c r="L54" i="4"/>
  <c r="L87" i="4" s="1"/>
  <c r="Q57" i="4"/>
  <c r="S57" i="4"/>
  <c r="O24" i="4"/>
  <c r="O28" i="4" s="1"/>
  <c r="P54" i="4"/>
  <c r="P87" i="4" s="1"/>
  <c r="K24" i="4"/>
  <c r="K28" i="4" s="1"/>
  <c r="J140" i="4"/>
  <c r="O57" i="4"/>
  <c r="M57" i="4"/>
  <c r="R140" i="4"/>
  <c r="S89" i="15" l="1"/>
  <c r="S149" i="15" s="1"/>
  <c r="I77" i="34"/>
  <c r="I42" i="34"/>
  <c r="I43" i="34" s="1"/>
  <c r="K47" i="15"/>
  <c r="M77" i="41"/>
  <c r="M42" i="41"/>
  <c r="M43" i="41" s="1"/>
  <c r="I42" i="37"/>
  <c r="I43" i="37" s="1"/>
  <c r="I77" i="37"/>
  <c r="I42" i="41"/>
  <c r="I43" i="41" s="1"/>
  <c r="I77" i="41"/>
  <c r="S42" i="41"/>
  <c r="S43" i="41" s="1"/>
  <c r="S77" i="41"/>
  <c r="O42" i="37"/>
  <c r="O43" i="37" s="1"/>
  <c r="O77" i="37"/>
  <c r="K42" i="41"/>
  <c r="K43" i="41" s="1"/>
  <c r="K77" i="41"/>
  <c r="M77" i="37"/>
  <c r="M42" i="37"/>
  <c r="M43" i="37" s="1"/>
  <c r="Q77" i="41"/>
  <c r="Q42" i="41"/>
  <c r="Q43" i="41" s="1"/>
  <c r="O42" i="41"/>
  <c r="O43" i="41" s="1"/>
  <c r="O77" i="41"/>
  <c r="I83" i="35"/>
  <c r="I84" i="35" s="1"/>
  <c r="I46" i="35"/>
  <c r="I48" i="35"/>
  <c r="I42" i="31"/>
  <c r="I43" i="31" s="1"/>
  <c r="I77" i="31"/>
  <c r="I49" i="35"/>
  <c r="I53" i="35"/>
  <c r="S77" i="31"/>
  <c r="S42" i="31"/>
  <c r="S43" i="31" s="1"/>
  <c r="I51" i="35"/>
  <c r="M77" i="31"/>
  <c r="M42" i="31"/>
  <c r="M43" i="31" s="1"/>
  <c r="I52" i="35"/>
  <c r="K42" i="31"/>
  <c r="K43" i="31" s="1"/>
  <c r="K77" i="31"/>
  <c r="I47" i="35"/>
  <c r="O42" i="31"/>
  <c r="O43" i="31" s="1"/>
  <c r="O77" i="31"/>
  <c r="I86" i="35"/>
  <c r="I87" i="35" s="1"/>
  <c r="Q77" i="31"/>
  <c r="Q42" i="31"/>
  <c r="Q43" i="31" s="1"/>
  <c r="I85" i="35"/>
  <c r="K52" i="15"/>
  <c r="K88" i="15"/>
  <c r="K53" i="15"/>
  <c r="K85" i="15"/>
  <c r="K51" i="15"/>
  <c r="K49" i="15"/>
  <c r="K46" i="15"/>
  <c r="K48" i="15"/>
  <c r="K86" i="15"/>
  <c r="K87" i="15" s="1"/>
  <c r="K50" i="15"/>
  <c r="Q50" i="15"/>
  <c r="I124" i="31"/>
  <c r="I129" i="31" s="1"/>
  <c r="I124" i="32"/>
  <c r="I129" i="32" s="1"/>
  <c r="S124" i="31"/>
  <c r="S129" i="31" s="1"/>
  <c r="Q124" i="31"/>
  <c r="Q129" i="31" s="1"/>
  <c r="O124" i="31"/>
  <c r="O129" i="31" s="1"/>
  <c r="K124" i="31"/>
  <c r="K129" i="31" s="1"/>
  <c r="M124" i="31"/>
  <c r="M129" i="31" s="1"/>
  <c r="K127" i="4"/>
  <c r="K125" i="4" s="1"/>
  <c r="Q48" i="15"/>
  <c r="S127" i="4"/>
  <c r="S125" i="4"/>
  <c r="Q52" i="15"/>
  <c r="Q83" i="15"/>
  <c r="Q84" i="15" s="1"/>
  <c r="I124" i="34"/>
  <c r="I124" i="35"/>
  <c r="I124" i="28"/>
  <c r="I124" i="29"/>
  <c r="K124" i="15"/>
  <c r="I124" i="15"/>
  <c r="M124" i="15"/>
  <c r="O124" i="15"/>
  <c r="I124" i="16"/>
  <c r="Q124" i="15"/>
  <c r="S124" i="15"/>
  <c r="M127" i="4"/>
  <c r="M125" i="4" s="1"/>
  <c r="Q53" i="15"/>
  <c r="Q88" i="15"/>
  <c r="Q46" i="15"/>
  <c r="Q85" i="15"/>
  <c r="M124" i="37"/>
  <c r="M129" i="37" s="1"/>
  <c r="O124" i="37"/>
  <c r="O129" i="37" s="1"/>
  <c r="I124" i="37"/>
  <c r="I129" i="37" s="1"/>
  <c r="I124" i="38"/>
  <c r="I129" i="38" s="1"/>
  <c r="K124" i="37"/>
  <c r="K129" i="37" s="1"/>
  <c r="S124" i="37"/>
  <c r="S129" i="37" s="1"/>
  <c r="Q124" i="37"/>
  <c r="Q129" i="37" s="1"/>
  <c r="I127" i="5"/>
  <c r="I125" i="5" s="1"/>
  <c r="Q86" i="15"/>
  <c r="Q87" i="15" s="1"/>
  <c r="I124" i="42"/>
  <c r="I129" i="42" s="1"/>
  <c r="O124" i="41"/>
  <c r="O129" i="41" s="1"/>
  <c r="M124" i="41"/>
  <c r="M129" i="41" s="1"/>
  <c r="I124" i="41"/>
  <c r="I129" i="41" s="1"/>
  <c r="Q124" i="41"/>
  <c r="Q129" i="41" s="1"/>
  <c r="K124" i="41"/>
  <c r="K129" i="41" s="1"/>
  <c r="S124" i="41"/>
  <c r="S129" i="41" s="1"/>
  <c r="Q125" i="4"/>
  <c r="Q47" i="15"/>
  <c r="O127" i="4"/>
  <c r="O125" i="4" s="1"/>
  <c r="I120" i="15"/>
  <c r="S120" i="15"/>
  <c r="S129" i="15" s="1"/>
  <c r="I120" i="28"/>
  <c r="I129" i="28" s="1"/>
  <c r="I120" i="35"/>
  <c r="I129" i="35" s="1"/>
  <c r="K120" i="15"/>
  <c r="K129" i="15" s="1"/>
  <c r="O120" i="15"/>
  <c r="O129" i="15" s="1"/>
  <c r="Q120" i="15"/>
  <c r="Q129" i="15" s="1"/>
  <c r="I120" i="16"/>
  <c r="I129" i="16" s="1"/>
  <c r="I120" i="34"/>
  <c r="I129" i="34" s="1"/>
  <c r="I120" i="29"/>
  <c r="I129" i="29" s="1"/>
  <c r="M120" i="15"/>
  <c r="M129" i="15" s="1"/>
  <c r="I89" i="35"/>
  <c r="I132" i="35" s="1"/>
  <c r="O120" i="4"/>
  <c r="K120" i="4"/>
  <c r="I120" i="4"/>
  <c r="Q84" i="37"/>
  <c r="Q89" i="37" s="1"/>
  <c r="K84" i="37"/>
  <c r="K89" i="37" s="1"/>
  <c r="I120" i="27"/>
  <c r="I129" i="27" s="1"/>
  <c r="S54" i="37"/>
  <c r="S78" i="37" s="1"/>
  <c r="S80" i="37" s="1"/>
  <c r="S89" i="37"/>
  <c r="Q120" i="4"/>
  <c r="K54" i="37"/>
  <c r="K78" i="37" s="1"/>
  <c r="K80" i="37" s="1"/>
  <c r="S120" i="4"/>
  <c r="Q54" i="37"/>
  <c r="Q78" i="37" s="1"/>
  <c r="Q80" i="37" s="1"/>
  <c r="M120" i="4"/>
  <c r="I120" i="5"/>
  <c r="S132" i="15"/>
  <c r="S92" i="15"/>
  <c r="I54" i="15"/>
  <c r="I78" i="15" s="1"/>
  <c r="I80" i="15" s="1"/>
  <c r="I91" i="15" s="1"/>
  <c r="I89" i="15"/>
  <c r="I92" i="15" s="1"/>
  <c r="M89" i="15"/>
  <c r="M92" i="15" s="1"/>
  <c r="I89" i="29"/>
  <c r="I132" i="29" s="1"/>
  <c r="O54" i="15"/>
  <c r="O78" i="15" s="1"/>
  <c r="O80" i="15" s="1"/>
  <c r="I54" i="28"/>
  <c r="I78" i="28" s="1"/>
  <c r="I80" i="28" s="1"/>
  <c r="S148" i="15"/>
  <c r="S91" i="15"/>
  <c r="S131" i="15"/>
  <c r="I89" i="27"/>
  <c r="I89" i="28"/>
  <c r="M54" i="15"/>
  <c r="M78" i="15" s="1"/>
  <c r="M80" i="15" s="1"/>
  <c r="O89" i="15"/>
  <c r="I54" i="27"/>
  <c r="I78" i="27" s="1"/>
  <c r="I80" i="27" s="1"/>
  <c r="I54" i="29"/>
  <c r="I78" i="29" s="1"/>
  <c r="I80" i="29" s="1"/>
  <c r="I74" i="4"/>
  <c r="I79" i="4" s="1"/>
  <c r="I28" i="4"/>
  <c r="I29" i="4" s="1"/>
  <c r="M29" i="4"/>
  <c r="Q29" i="4"/>
  <c r="O29" i="4"/>
  <c r="S29" i="4"/>
  <c r="K29" i="4"/>
  <c r="I29" i="5"/>
  <c r="Q54" i="15" l="1"/>
  <c r="Q78" i="15" s="1"/>
  <c r="Q80" i="15" s="1"/>
  <c r="K89" i="15"/>
  <c r="K92" i="15" s="1"/>
  <c r="I54" i="35"/>
  <c r="I78" i="35" s="1"/>
  <c r="I80" i="35" s="1"/>
  <c r="I91" i="35" s="1"/>
  <c r="M51" i="41"/>
  <c r="M49" i="41"/>
  <c r="M85" i="41"/>
  <c r="M83" i="41"/>
  <c r="M88" i="41"/>
  <c r="M50" i="41"/>
  <c r="M48" i="41"/>
  <c r="M53" i="41"/>
  <c r="M46" i="41"/>
  <c r="M52" i="41"/>
  <c r="M86" i="41"/>
  <c r="M87" i="41" s="1"/>
  <c r="M47" i="41"/>
  <c r="I83" i="34"/>
  <c r="I84" i="34" s="1"/>
  <c r="I47" i="34"/>
  <c r="I53" i="34"/>
  <c r="I49" i="34"/>
  <c r="I52" i="34"/>
  <c r="I88" i="34"/>
  <c r="I48" i="34"/>
  <c r="I51" i="34"/>
  <c r="I86" i="34"/>
  <c r="I87" i="34" s="1"/>
  <c r="I85" i="34"/>
  <c r="I50" i="34"/>
  <c r="I46" i="34"/>
  <c r="O51" i="41"/>
  <c r="O88" i="41"/>
  <c r="O83" i="41"/>
  <c r="O52" i="41"/>
  <c r="O86" i="41"/>
  <c r="O87" i="41" s="1"/>
  <c r="O49" i="41"/>
  <c r="O47" i="41"/>
  <c r="O48" i="41"/>
  <c r="O46" i="41"/>
  <c r="O53" i="41"/>
  <c r="O85" i="41"/>
  <c r="O50" i="41"/>
  <c r="O53" i="37"/>
  <c r="O48" i="37"/>
  <c r="O86" i="37"/>
  <c r="O87" i="37" s="1"/>
  <c r="O51" i="37"/>
  <c r="O83" i="37"/>
  <c r="O88" i="37"/>
  <c r="O49" i="37"/>
  <c r="O52" i="37"/>
  <c r="O47" i="37"/>
  <c r="O85" i="37"/>
  <c r="O50" i="37"/>
  <c r="O46" i="37"/>
  <c r="Q49" i="41"/>
  <c r="Q85" i="41"/>
  <c r="Q48" i="41"/>
  <c r="Q46" i="41"/>
  <c r="Q83" i="41"/>
  <c r="Q53" i="41"/>
  <c r="Q51" i="41"/>
  <c r="Q50" i="41"/>
  <c r="Q88" i="41"/>
  <c r="Q47" i="41"/>
  <c r="Q86" i="41"/>
  <c r="Q87" i="41" s="1"/>
  <c r="Q52" i="41"/>
  <c r="S83" i="41"/>
  <c r="S51" i="41"/>
  <c r="S50" i="41"/>
  <c r="S88" i="41"/>
  <c r="S85" i="41"/>
  <c r="S48" i="41"/>
  <c r="S49" i="41"/>
  <c r="S52" i="41"/>
  <c r="S53" i="41"/>
  <c r="S47" i="41"/>
  <c r="S86" i="41"/>
  <c r="S87" i="41" s="1"/>
  <c r="S46" i="41"/>
  <c r="M48" i="37"/>
  <c r="M50" i="37"/>
  <c r="M85" i="37"/>
  <c r="M46" i="37"/>
  <c r="M83" i="37"/>
  <c r="M84" i="37" s="1"/>
  <c r="M86" i="37"/>
  <c r="M87" i="37" s="1"/>
  <c r="M51" i="37"/>
  <c r="M53" i="37"/>
  <c r="M47" i="37"/>
  <c r="M88" i="37"/>
  <c r="M49" i="37"/>
  <c r="M52" i="37"/>
  <c r="I46" i="41"/>
  <c r="I47" i="41"/>
  <c r="I50" i="41"/>
  <c r="I53" i="41"/>
  <c r="I51" i="41"/>
  <c r="I48" i="41"/>
  <c r="I83" i="41"/>
  <c r="I52" i="41"/>
  <c r="I85" i="41"/>
  <c r="I49" i="41"/>
  <c r="I88" i="41"/>
  <c r="I86" i="41"/>
  <c r="I87" i="41" s="1"/>
  <c r="K86" i="41"/>
  <c r="K87" i="41" s="1"/>
  <c r="K53" i="41"/>
  <c r="K49" i="41"/>
  <c r="K50" i="41"/>
  <c r="K52" i="41"/>
  <c r="K47" i="41"/>
  <c r="K48" i="41"/>
  <c r="K83" i="41"/>
  <c r="K46" i="41"/>
  <c r="K88" i="41"/>
  <c r="K85" i="41"/>
  <c r="K51" i="41"/>
  <c r="I52" i="37"/>
  <c r="I47" i="37"/>
  <c r="I85" i="37"/>
  <c r="I48" i="37"/>
  <c r="I88" i="37"/>
  <c r="I86" i="37"/>
  <c r="I87" i="37" s="1"/>
  <c r="I51" i="37"/>
  <c r="I53" i="37"/>
  <c r="I46" i="37"/>
  <c r="I49" i="37"/>
  <c r="I83" i="37"/>
  <c r="I50" i="37"/>
  <c r="K52" i="31"/>
  <c r="K83" i="31"/>
  <c r="K47" i="31"/>
  <c r="K88" i="31"/>
  <c r="K53" i="31"/>
  <c r="K46" i="31"/>
  <c r="K85" i="31"/>
  <c r="K48" i="31"/>
  <c r="K86" i="31"/>
  <c r="K87" i="31" s="1"/>
  <c r="K51" i="31"/>
  <c r="K50" i="31"/>
  <c r="K49" i="31"/>
  <c r="Q86" i="31"/>
  <c r="Q87" i="31" s="1"/>
  <c r="Q49" i="31"/>
  <c r="Q51" i="31"/>
  <c r="Q46" i="31"/>
  <c r="Q48" i="31"/>
  <c r="Q53" i="31"/>
  <c r="Q50" i="31"/>
  <c r="Q85" i="31"/>
  <c r="Q52" i="31"/>
  <c r="Q88" i="31"/>
  <c r="Q83" i="31"/>
  <c r="Q47" i="31"/>
  <c r="Q89" i="15"/>
  <c r="K54" i="15"/>
  <c r="K78" i="15" s="1"/>
  <c r="K80" i="15" s="1"/>
  <c r="M51" i="31"/>
  <c r="M88" i="31"/>
  <c r="M50" i="31"/>
  <c r="M86" i="31"/>
  <c r="M87" i="31" s="1"/>
  <c r="M47" i="31"/>
  <c r="M85" i="31"/>
  <c r="M48" i="31"/>
  <c r="M46" i="31"/>
  <c r="M83" i="31"/>
  <c r="M53" i="31"/>
  <c r="M52" i="31"/>
  <c r="M49" i="31"/>
  <c r="I53" i="31"/>
  <c r="I88" i="31"/>
  <c r="I49" i="31"/>
  <c r="I51" i="31"/>
  <c r="I85" i="31"/>
  <c r="I50" i="31"/>
  <c r="I52" i="31"/>
  <c r="I46" i="31"/>
  <c r="I47" i="31"/>
  <c r="I48" i="31"/>
  <c r="I86" i="31"/>
  <c r="I87" i="31" s="1"/>
  <c r="I83" i="31"/>
  <c r="I84" i="31" s="1"/>
  <c r="O83" i="31"/>
  <c r="O53" i="31"/>
  <c r="O51" i="31"/>
  <c r="O52" i="31"/>
  <c r="O46" i="31"/>
  <c r="O47" i="31"/>
  <c r="O86" i="31"/>
  <c r="O87" i="31" s="1"/>
  <c r="O50" i="31"/>
  <c r="O88" i="31"/>
  <c r="O49" i="31"/>
  <c r="O85" i="31"/>
  <c r="O48" i="31"/>
  <c r="S86" i="31"/>
  <c r="S87" i="31" s="1"/>
  <c r="S52" i="31"/>
  <c r="S53" i="31"/>
  <c r="S47" i="31"/>
  <c r="S88" i="31"/>
  <c r="S50" i="31"/>
  <c r="S46" i="31"/>
  <c r="S83" i="31"/>
  <c r="S48" i="31"/>
  <c r="S85" i="31"/>
  <c r="S51" i="31"/>
  <c r="S49" i="31"/>
  <c r="M151" i="41"/>
  <c r="M134" i="41"/>
  <c r="Q134" i="41"/>
  <c r="Q151" i="41"/>
  <c r="Q134" i="37"/>
  <c r="Q151" i="37"/>
  <c r="M151" i="31"/>
  <c r="M134" i="31"/>
  <c r="I129" i="15"/>
  <c r="I151" i="41"/>
  <c r="I134" i="41"/>
  <c r="S151" i="37"/>
  <c r="S134" i="37"/>
  <c r="K151" i="31"/>
  <c r="K134" i="31"/>
  <c r="O134" i="41"/>
  <c r="O151" i="41"/>
  <c r="I134" i="38"/>
  <c r="I135" i="38" s="1"/>
  <c r="I151" i="38"/>
  <c r="I152" i="38" s="1"/>
  <c r="Q134" i="31"/>
  <c r="Q151" i="31"/>
  <c r="I151" i="42"/>
  <c r="I152" i="42" s="1"/>
  <c r="I134" i="42"/>
  <c r="I135" i="42" s="1"/>
  <c r="I134" i="37"/>
  <c r="I151" i="37"/>
  <c r="S151" i="31"/>
  <c r="S134" i="31"/>
  <c r="K134" i="37"/>
  <c r="K151" i="37"/>
  <c r="O134" i="37"/>
  <c r="O151" i="37"/>
  <c r="I134" i="32"/>
  <c r="I135" i="32" s="1"/>
  <c r="I138" i="32" s="1"/>
  <c r="I151" i="32"/>
  <c r="I152" i="32" s="1"/>
  <c r="S151" i="41"/>
  <c r="S134" i="41"/>
  <c r="M151" i="37"/>
  <c r="M134" i="37"/>
  <c r="I134" i="31"/>
  <c r="I151" i="31"/>
  <c r="O151" i="31"/>
  <c r="O134" i="31"/>
  <c r="K151" i="41"/>
  <c r="K134" i="41"/>
  <c r="I149" i="35"/>
  <c r="I92" i="35"/>
  <c r="I93" i="35" s="1"/>
  <c r="I102" i="35" s="1"/>
  <c r="O151" i="15"/>
  <c r="O134" i="15"/>
  <c r="K151" i="15"/>
  <c r="K134" i="15"/>
  <c r="M134" i="15"/>
  <c r="M151" i="15"/>
  <c r="I151" i="29"/>
  <c r="I134" i="29"/>
  <c r="I151" i="35"/>
  <c r="I134" i="35"/>
  <c r="Q151" i="15"/>
  <c r="Q134" i="15"/>
  <c r="I151" i="34"/>
  <c r="I134" i="34"/>
  <c r="I134" i="28"/>
  <c r="I151" i="28"/>
  <c r="I134" i="16"/>
  <c r="I135" i="16" s="1"/>
  <c r="I138" i="16" s="1"/>
  <c r="I151" i="16"/>
  <c r="I152" i="16" s="1"/>
  <c r="S151" i="15"/>
  <c r="S134" i="15"/>
  <c r="I131" i="35"/>
  <c r="I148" i="35"/>
  <c r="S93" i="15"/>
  <c r="S99" i="15" s="1"/>
  <c r="K132" i="15"/>
  <c r="M132" i="15"/>
  <c r="Q132" i="37"/>
  <c r="Q92" i="37"/>
  <c r="Q149" i="37"/>
  <c r="K132" i="37"/>
  <c r="K92" i="37"/>
  <c r="K149" i="37"/>
  <c r="K148" i="37"/>
  <c r="K91" i="37"/>
  <c r="K131" i="37"/>
  <c r="I151" i="27"/>
  <c r="I134" i="27"/>
  <c r="S91" i="37"/>
  <c r="S131" i="37"/>
  <c r="S148" i="37"/>
  <c r="S132" i="37"/>
  <c r="S92" i="37"/>
  <c r="S149" i="37"/>
  <c r="Q131" i="37"/>
  <c r="Q148" i="37"/>
  <c r="Q91" i="37"/>
  <c r="M149" i="15"/>
  <c r="K149" i="15"/>
  <c r="I149" i="15"/>
  <c r="I93" i="15"/>
  <c r="K36" i="4"/>
  <c r="K39" i="4"/>
  <c r="K37" i="4"/>
  <c r="K38" i="4"/>
  <c r="K32" i="4"/>
  <c r="K35" i="4"/>
  <c r="K34" i="4"/>
  <c r="O39" i="4"/>
  <c r="O38" i="4"/>
  <c r="O37" i="4"/>
  <c r="O34" i="4"/>
  <c r="O36" i="4"/>
  <c r="O32" i="4"/>
  <c r="O35" i="4"/>
  <c r="M36" i="4"/>
  <c r="M39" i="4"/>
  <c r="M37" i="4"/>
  <c r="M35" i="4"/>
  <c r="M38" i="4"/>
  <c r="M34" i="4"/>
  <c r="M32" i="4"/>
  <c r="S37" i="4"/>
  <c r="S32" i="4"/>
  <c r="S38" i="4"/>
  <c r="S39" i="4"/>
  <c r="S36" i="4"/>
  <c r="S34" i="4"/>
  <c r="S35" i="4"/>
  <c r="Q37" i="4"/>
  <c r="Q38" i="4"/>
  <c r="Q36" i="4"/>
  <c r="Q39" i="4"/>
  <c r="Q35" i="4"/>
  <c r="Q32" i="4"/>
  <c r="Q34" i="4"/>
  <c r="I39" i="4"/>
  <c r="I38" i="4"/>
  <c r="I37" i="4"/>
  <c r="I36" i="4"/>
  <c r="I32" i="4"/>
  <c r="I35" i="4"/>
  <c r="I34" i="4"/>
  <c r="I39" i="5"/>
  <c r="I41" i="5"/>
  <c r="I38" i="5"/>
  <c r="I37" i="5"/>
  <c r="I36" i="5"/>
  <c r="I90" i="5"/>
  <c r="I35" i="5"/>
  <c r="I34" i="5"/>
  <c r="I32" i="5"/>
  <c r="I149" i="29"/>
  <c r="I92" i="29"/>
  <c r="I132" i="15"/>
  <c r="I148" i="28"/>
  <c r="I131" i="28"/>
  <c r="I91" i="28"/>
  <c r="Q92" i="15"/>
  <c r="Q132" i="15"/>
  <c r="Q149" i="15"/>
  <c r="O132" i="15"/>
  <c r="O92" i="15"/>
  <c r="O149" i="15"/>
  <c r="I132" i="28"/>
  <c r="I92" i="28"/>
  <c r="I149" i="28"/>
  <c r="I91" i="27"/>
  <c r="I131" i="27"/>
  <c r="I148" i="27"/>
  <c r="I148" i="29"/>
  <c r="I91" i="29"/>
  <c r="I131" i="29"/>
  <c r="I131" i="15"/>
  <c r="I148" i="15"/>
  <c r="I132" i="27"/>
  <c r="I92" i="27"/>
  <c r="I149" i="27"/>
  <c r="Q148" i="15"/>
  <c r="Q131" i="15"/>
  <c r="Q91" i="15"/>
  <c r="O148" i="15"/>
  <c r="O131" i="15"/>
  <c r="O91" i="15"/>
  <c r="K91" i="15"/>
  <c r="K93" i="15" s="1"/>
  <c r="K148" i="15"/>
  <c r="K131" i="15"/>
  <c r="M91" i="15"/>
  <c r="M93" i="15" s="1"/>
  <c r="M131" i="15"/>
  <c r="M148" i="15"/>
  <c r="Q129" i="4"/>
  <c r="M130" i="4"/>
  <c r="M129" i="4"/>
  <c r="I129" i="5"/>
  <c r="I134" i="5" s="1"/>
  <c r="S129" i="4"/>
  <c r="O129" i="4"/>
  <c r="S74" i="4"/>
  <c r="S79" i="4" s="1"/>
  <c r="M74" i="4"/>
  <c r="M79" i="4" s="1"/>
  <c r="K74" i="4"/>
  <c r="K79" i="4" s="1"/>
  <c r="O74" i="4"/>
  <c r="O79" i="4" s="1"/>
  <c r="Q74" i="4"/>
  <c r="Q79" i="4" s="1"/>
  <c r="I41" i="4"/>
  <c r="K90" i="4"/>
  <c r="M41" i="4"/>
  <c r="K41" i="4"/>
  <c r="M90" i="4"/>
  <c r="M147" i="4"/>
  <c r="I90" i="4"/>
  <c r="I147" i="4"/>
  <c r="I130" i="4"/>
  <c r="O41" i="4"/>
  <c r="O130" i="4"/>
  <c r="O90" i="4"/>
  <c r="O147" i="4"/>
  <c r="K130" i="4"/>
  <c r="S90" i="4"/>
  <c r="S41" i="4"/>
  <c r="S130" i="4"/>
  <c r="S147" i="4"/>
  <c r="K147" i="4"/>
  <c r="Q41" i="4"/>
  <c r="Q147" i="4"/>
  <c r="Q130" i="4"/>
  <c r="Q90" i="4"/>
  <c r="I130" i="5"/>
  <c r="I147" i="5"/>
  <c r="M84" i="41" l="1"/>
  <c r="M89" i="41" s="1"/>
  <c r="I89" i="34"/>
  <c r="M54" i="41"/>
  <c r="M78" i="41" s="1"/>
  <c r="M80" i="41" s="1"/>
  <c r="S54" i="41"/>
  <c r="S78" i="41" s="1"/>
  <c r="S80" i="41" s="1"/>
  <c r="S131" i="41" s="1"/>
  <c r="O54" i="37"/>
  <c r="O78" i="37" s="1"/>
  <c r="O80" i="37" s="1"/>
  <c r="O91" i="37" s="1"/>
  <c r="I54" i="34"/>
  <c r="I78" i="34" s="1"/>
  <c r="I80" i="34" s="1"/>
  <c r="I84" i="37"/>
  <c r="I89" i="37" s="1"/>
  <c r="I54" i="37"/>
  <c r="I78" i="37" s="1"/>
  <c r="I80" i="37" s="1"/>
  <c r="I54" i="41"/>
  <c r="I78" i="41" s="1"/>
  <c r="I80" i="41" s="1"/>
  <c r="M89" i="37"/>
  <c r="S84" i="41"/>
  <c r="S89" i="41" s="1"/>
  <c r="Q84" i="41"/>
  <c r="Q89" i="41" s="1"/>
  <c r="M54" i="37"/>
  <c r="M78" i="37" s="1"/>
  <c r="M80" i="37" s="1"/>
  <c r="Q54" i="41"/>
  <c r="Q78" i="41" s="1"/>
  <c r="Q80" i="41" s="1"/>
  <c r="K84" i="41"/>
  <c r="K89" i="41" s="1"/>
  <c r="I84" i="41"/>
  <c r="I89" i="41" s="1"/>
  <c r="O84" i="41"/>
  <c r="O89" i="41" s="1"/>
  <c r="K54" i="41"/>
  <c r="K78" i="41" s="1"/>
  <c r="K80" i="41" s="1"/>
  <c r="O84" i="37"/>
  <c r="O89" i="37"/>
  <c r="O54" i="41"/>
  <c r="O78" i="41" s="1"/>
  <c r="O80" i="41" s="1"/>
  <c r="Q54" i="31"/>
  <c r="Q78" i="31" s="1"/>
  <c r="Q80" i="31" s="1"/>
  <c r="Q91" i="31" s="1"/>
  <c r="O54" i="31"/>
  <c r="O78" i="31" s="1"/>
  <c r="O80" i="31" s="1"/>
  <c r="Q84" i="31"/>
  <c r="Q89" i="31" s="1"/>
  <c r="S84" i="31"/>
  <c r="S89" i="31" s="1"/>
  <c r="I54" i="31"/>
  <c r="I78" i="31" s="1"/>
  <c r="I80" i="31" s="1"/>
  <c r="K54" i="31"/>
  <c r="K78" i="31" s="1"/>
  <c r="K80" i="31" s="1"/>
  <c r="S54" i="31"/>
  <c r="S78" i="31" s="1"/>
  <c r="S80" i="31" s="1"/>
  <c r="O84" i="31"/>
  <c r="O89" i="31" s="1"/>
  <c r="M84" i="31"/>
  <c r="M89" i="31" s="1"/>
  <c r="I89" i="31"/>
  <c r="M54" i="31"/>
  <c r="M78" i="31" s="1"/>
  <c r="M80" i="31" s="1"/>
  <c r="K84" i="31"/>
  <c r="K89" i="31" s="1"/>
  <c r="I138" i="38"/>
  <c r="I139" i="38" s="1"/>
  <c r="I154" i="38" s="1"/>
  <c r="I139" i="32"/>
  <c r="I154" i="32" s="1"/>
  <c r="I138" i="42"/>
  <c r="I139" i="42" s="1"/>
  <c r="I154" i="42" s="1"/>
  <c r="I134" i="15"/>
  <c r="I151" i="15"/>
  <c r="I139" i="16"/>
  <c r="I154" i="16" s="1"/>
  <c r="S105" i="15"/>
  <c r="S97" i="15"/>
  <c r="S98" i="15"/>
  <c r="S101" i="15"/>
  <c r="S106" i="15"/>
  <c r="S107" i="15"/>
  <c r="S104" i="15"/>
  <c r="S103" i="15"/>
  <c r="S108" i="15"/>
  <c r="S100" i="15"/>
  <c r="S102" i="15"/>
  <c r="I105" i="35"/>
  <c r="I97" i="35"/>
  <c r="I104" i="35"/>
  <c r="I101" i="35"/>
  <c r="I106" i="35"/>
  <c r="I107" i="35"/>
  <c r="I108" i="35"/>
  <c r="I103" i="35"/>
  <c r="I99" i="35"/>
  <c r="I98" i="35"/>
  <c r="I100" i="35"/>
  <c r="Q93" i="37"/>
  <c r="Q104" i="37" s="1"/>
  <c r="K93" i="37"/>
  <c r="S93" i="37"/>
  <c r="I100" i="15"/>
  <c r="I101" i="15"/>
  <c r="I102" i="15"/>
  <c r="I97" i="15"/>
  <c r="I107" i="15"/>
  <c r="I103" i="15"/>
  <c r="I105" i="15"/>
  <c r="I99" i="15"/>
  <c r="I98" i="15"/>
  <c r="I104" i="15"/>
  <c r="I108" i="15"/>
  <c r="I106" i="15"/>
  <c r="K33" i="4"/>
  <c r="K40" i="4" s="1"/>
  <c r="O33" i="4"/>
  <c r="O40" i="4" s="1"/>
  <c r="M33" i="4"/>
  <c r="M40" i="4" s="1"/>
  <c r="Q33" i="4"/>
  <c r="Q40" i="4" s="1"/>
  <c r="S33" i="4"/>
  <c r="S40" i="4" s="1"/>
  <c r="I33" i="4"/>
  <c r="I40" i="4" s="1"/>
  <c r="I33" i="5"/>
  <c r="I40" i="5" s="1"/>
  <c r="I93" i="29"/>
  <c r="I101" i="29" s="1"/>
  <c r="Q93" i="15"/>
  <c r="Q108" i="15" s="1"/>
  <c r="K104" i="15"/>
  <c r="K99" i="15"/>
  <c r="K97" i="15"/>
  <c r="K98" i="15"/>
  <c r="K103" i="15"/>
  <c r="K102" i="15"/>
  <c r="K106" i="15"/>
  <c r="K100" i="15"/>
  <c r="K108" i="15"/>
  <c r="K107" i="15"/>
  <c r="K105" i="15"/>
  <c r="K101" i="15"/>
  <c r="O93" i="15"/>
  <c r="M97" i="15"/>
  <c r="M103" i="15"/>
  <c r="M108" i="15"/>
  <c r="M105" i="15"/>
  <c r="M100" i="15"/>
  <c r="M99" i="15"/>
  <c r="M106" i="15"/>
  <c r="M102" i="15"/>
  <c r="M107" i="15"/>
  <c r="M104" i="15"/>
  <c r="M101" i="15"/>
  <c r="M98" i="15"/>
  <c r="I93" i="28"/>
  <c r="I93" i="27"/>
  <c r="I151" i="5"/>
  <c r="O131" i="37" l="1"/>
  <c r="M132" i="41"/>
  <c r="M92" i="41"/>
  <c r="M149" i="41"/>
  <c r="I148" i="34"/>
  <c r="I91" i="34"/>
  <c r="I93" i="34" s="1"/>
  <c r="I131" i="34"/>
  <c r="M91" i="41"/>
  <c r="M93" i="41" s="1"/>
  <c r="M131" i="41"/>
  <c r="M148" i="41"/>
  <c r="I92" i="34"/>
  <c r="I149" i="34"/>
  <c r="I132" i="34"/>
  <c r="S91" i="41"/>
  <c r="S148" i="41"/>
  <c r="O148" i="37"/>
  <c r="K92" i="41"/>
  <c r="K149" i="41"/>
  <c r="K132" i="41"/>
  <c r="Q149" i="41"/>
  <c r="Q92" i="41"/>
  <c r="Q132" i="41"/>
  <c r="I149" i="41"/>
  <c r="I132" i="41"/>
  <c r="I92" i="41"/>
  <c r="S149" i="41"/>
  <c r="S92" i="41"/>
  <c r="S132" i="41"/>
  <c r="I132" i="37"/>
  <c r="I149" i="37"/>
  <c r="I92" i="37"/>
  <c r="Q131" i="41"/>
  <c r="Q91" i="41"/>
  <c r="Q148" i="41"/>
  <c r="M132" i="37"/>
  <c r="M92" i="37"/>
  <c r="M149" i="37"/>
  <c r="K131" i="41"/>
  <c r="K91" i="41"/>
  <c r="K148" i="41"/>
  <c r="M148" i="37"/>
  <c r="M91" i="37"/>
  <c r="M131" i="37"/>
  <c r="I148" i="41"/>
  <c r="I91" i="41"/>
  <c r="I131" i="41"/>
  <c r="O92" i="41"/>
  <c r="O132" i="41"/>
  <c r="O149" i="41"/>
  <c r="I148" i="37"/>
  <c r="I131" i="37"/>
  <c r="I91" i="37"/>
  <c r="O92" i="37"/>
  <c r="O93" i="37" s="1"/>
  <c r="O97" i="37" s="1"/>
  <c r="O132" i="37"/>
  <c r="O149" i="37"/>
  <c r="S93" i="41"/>
  <c r="O148" i="41"/>
  <c r="O131" i="41"/>
  <c r="O91" i="41"/>
  <c r="Q148" i="31"/>
  <c r="Q131" i="31"/>
  <c r="K132" i="31"/>
  <c r="K149" i="31"/>
  <c r="K92" i="31"/>
  <c r="M131" i="31"/>
  <c r="M148" i="31"/>
  <c r="M91" i="31"/>
  <c r="K131" i="31"/>
  <c r="K148" i="31"/>
  <c r="K91" i="31"/>
  <c r="I92" i="31"/>
  <c r="I132" i="31"/>
  <c r="I149" i="31"/>
  <c r="I91" i="31"/>
  <c r="I148" i="31"/>
  <c r="I131" i="31"/>
  <c r="S149" i="31"/>
  <c r="S132" i="31"/>
  <c r="S92" i="31"/>
  <c r="M132" i="31"/>
  <c r="M92" i="31"/>
  <c r="M149" i="31"/>
  <c r="Q132" i="31"/>
  <c r="Q92" i="31"/>
  <c r="Q93" i="31" s="1"/>
  <c r="Q99" i="31" s="1"/>
  <c r="Q149" i="31"/>
  <c r="S131" i="31"/>
  <c r="S91" i="31"/>
  <c r="S93" i="31" s="1"/>
  <c r="S97" i="31" s="1"/>
  <c r="S148" i="31"/>
  <c r="O92" i="31"/>
  <c r="O149" i="31"/>
  <c r="O132" i="31"/>
  <c r="O131" i="31"/>
  <c r="O91" i="31"/>
  <c r="O148" i="31"/>
  <c r="G13" i="43"/>
  <c r="H13" i="43" s="1"/>
  <c r="I13" i="43" s="1"/>
  <c r="I143" i="42"/>
  <c r="I156" i="42"/>
  <c r="I142" i="42"/>
  <c r="I141" i="42"/>
  <c r="I143" i="38"/>
  <c r="I141" i="38"/>
  <c r="I156" i="38"/>
  <c r="G13" i="39"/>
  <c r="H13" i="39" s="1"/>
  <c r="I13" i="39" s="1"/>
  <c r="I142" i="38"/>
  <c r="G13" i="33"/>
  <c r="H13" i="33" s="1"/>
  <c r="I13" i="33" s="1"/>
  <c r="I143" i="32"/>
  <c r="I156" i="32"/>
  <c r="I141" i="32"/>
  <c r="I142" i="32"/>
  <c r="Q103" i="37"/>
  <c r="O106" i="37"/>
  <c r="O101" i="37"/>
  <c r="Q105" i="37"/>
  <c r="Q107" i="37"/>
  <c r="Q108" i="37"/>
  <c r="Q99" i="37"/>
  <c r="I156" i="16"/>
  <c r="G13" i="17"/>
  <c r="H13" i="17" s="1"/>
  <c r="I13" i="17" s="1"/>
  <c r="I143" i="16"/>
  <c r="I141" i="16"/>
  <c r="I142" i="16"/>
  <c r="Q98" i="37"/>
  <c r="S96" i="15"/>
  <c r="S109" i="15" s="1"/>
  <c r="S115" i="15" s="1"/>
  <c r="S117" i="15" s="1"/>
  <c r="S150" i="15" s="1"/>
  <c r="S152" i="15" s="1"/>
  <c r="I96" i="35"/>
  <c r="I109" i="35" s="1"/>
  <c r="I115" i="35" s="1"/>
  <c r="I117" i="35" s="1"/>
  <c r="I133" i="35" s="1"/>
  <c r="I135" i="35" s="1"/>
  <c r="I138" i="35" s="1"/>
  <c r="Q106" i="37"/>
  <c r="Q101" i="37"/>
  <c r="Q100" i="37"/>
  <c r="Q102" i="37"/>
  <c r="Q97" i="37"/>
  <c r="M98" i="41"/>
  <c r="M107" i="41"/>
  <c r="M100" i="41"/>
  <c r="M102" i="41"/>
  <c r="M99" i="41"/>
  <c r="M97" i="41"/>
  <c r="M106" i="41"/>
  <c r="M105" i="41"/>
  <c r="M108" i="41"/>
  <c r="M103" i="41"/>
  <c r="M104" i="41"/>
  <c r="M101" i="41"/>
  <c r="S102" i="37"/>
  <c r="S108" i="37"/>
  <c r="S100" i="37"/>
  <c r="S105" i="37"/>
  <c r="S104" i="37"/>
  <c r="S107" i="37"/>
  <c r="S106" i="37"/>
  <c r="S101" i="37"/>
  <c r="S103" i="37"/>
  <c r="S99" i="37"/>
  <c r="S97" i="37"/>
  <c r="S98" i="37"/>
  <c r="K102" i="37"/>
  <c r="K105" i="37"/>
  <c r="K107" i="37"/>
  <c r="K104" i="37"/>
  <c r="K98" i="37"/>
  <c r="K108" i="37"/>
  <c r="K106" i="37"/>
  <c r="K103" i="37"/>
  <c r="K97" i="37"/>
  <c r="K99" i="37"/>
  <c r="K101" i="37"/>
  <c r="K100" i="37"/>
  <c r="Q107" i="15"/>
  <c r="Q104" i="15"/>
  <c r="Q98" i="15"/>
  <c r="Q105" i="15"/>
  <c r="Q101" i="15"/>
  <c r="Q106" i="15"/>
  <c r="Q102" i="15"/>
  <c r="Q100" i="15"/>
  <c r="Q103" i="15"/>
  <c r="Q97" i="15"/>
  <c r="Q99" i="15"/>
  <c r="I96" i="15"/>
  <c r="I109" i="15" s="1"/>
  <c r="I115" i="15" s="1"/>
  <c r="I117" i="15" s="1"/>
  <c r="I150" i="15" s="1"/>
  <c r="I152" i="15" s="1"/>
  <c r="I42" i="5"/>
  <c r="I43" i="5" s="1"/>
  <c r="I77" i="5"/>
  <c r="S98" i="31"/>
  <c r="I102" i="29"/>
  <c r="I98" i="29"/>
  <c r="I108" i="29"/>
  <c r="I105" i="29"/>
  <c r="I100" i="29"/>
  <c r="I104" i="29"/>
  <c r="I97" i="29"/>
  <c r="I103" i="29"/>
  <c r="I107" i="29"/>
  <c r="I106" i="29"/>
  <c r="I99" i="29"/>
  <c r="K96" i="15"/>
  <c r="K109" i="15" s="1"/>
  <c r="K115" i="15" s="1"/>
  <c r="K117" i="15" s="1"/>
  <c r="I107" i="28"/>
  <c r="I104" i="28"/>
  <c r="I108" i="28"/>
  <c r="I106" i="28"/>
  <c r="I98" i="28"/>
  <c r="I101" i="28"/>
  <c r="I103" i="28"/>
  <c r="I105" i="28"/>
  <c r="I100" i="28"/>
  <c r="I97" i="28"/>
  <c r="I102" i="28"/>
  <c r="I99" i="28"/>
  <c r="M96" i="15"/>
  <c r="M109" i="15" s="1"/>
  <c r="M115" i="15" s="1"/>
  <c r="M117" i="15" s="1"/>
  <c r="O103" i="15"/>
  <c r="O107" i="15"/>
  <c r="O97" i="15"/>
  <c r="O100" i="15"/>
  <c r="O98" i="15"/>
  <c r="O104" i="15"/>
  <c r="O101" i="15"/>
  <c r="O99" i="15"/>
  <c r="O105" i="15"/>
  <c r="O108" i="15"/>
  <c r="O102" i="15"/>
  <c r="O106" i="15"/>
  <c r="I101" i="34"/>
  <c r="I107" i="34"/>
  <c r="I97" i="34"/>
  <c r="I105" i="34"/>
  <c r="I103" i="34"/>
  <c r="I108" i="34"/>
  <c r="I99" i="34"/>
  <c r="I104" i="34"/>
  <c r="I106" i="34"/>
  <c r="I100" i="34"/>
  <c r="I102" i="34"/>
  <c r="I98" i="34"/>
  <c r="I108" i="27"/>
  <c r="I103" i="27"/>
  <c r="I100" i="27"/>
  <c r="I106" i="27"/>
  <c r="I101" i="27"/>
  <c r="I104" i="27"/>
  <c r="I99" i="27"/>
  <c r="I102" i="27"/>
  <c r="I97" i="27"/>
  <c r="I105" i="27"/>
  <c r="I98" i="27"/>
  <c r="I107" i="27"/>
  <c r="I77" i="4"/>
  <c r="K77" i="4"/>
  <c r="M42" i="4"/>
  <c r="M43" i="4" s="1"/>
  <c r="S77" i="4"/>
  <c r="Q42" i="4"/>
  <c r="Q43" i="4" s="1"/>
  <c r="O77" i="4"/>
  <c r="I42" i="4"/>
  <c r="I43" i="4" s="1"/>
  <c r="O108" i="37" l="1"/>
  <c r="O103" i="37"/>
  <c r="O100" i="37"/>
  <c r="O102" i="37"/>
  <c r="K93" i="41"/>
  <c r="I93" i="41"/>
  <c r="M93" i="37"/>
  <c r="S105" i="41"/>
  <c r="S97" i="41"/>
  <c r="S106" i="41"/>
  <c r="S104" i="41"/>
  <c r="S103" i="41"/>
  <c r="S108" i="41"/>
  <c r="S100" i="41"/>
  <c r="S107" i="41"/>
  <c r="S102" i="41"/>
  <c r="S101" i="41"/>
  <c r="S99" i="41"/>
  <c r="S98" i="41"/>
  <c r="S102" i="31"/>
  <c r="K106" i="41"/>
  <c r="K105" i="41"/>
  <c r="K107" i="41"/>
  <c r="K104" i="41"/>
  <c r="K98" i="41"/>
  <c r="K101" i="41"/>
  <c r="K102" i="41"/>
  <c r="K108" i="41"/>
  <c r="K100" i="41"/>
  <c r="K99" i="41"/>
  <c r="K97" i="41"/>
  <c r="K103" i="41"/>
  <c r="S108" i="31"/>
  <c r="S100" i="31"/>
  <c r="S103" i="31"/>
  <c r="O99" i="37"/>
  <c r="O104" i="37"/>
  <c r="O105" i="37"/>
  <c r="O107" i="37"/>
  <c r="I99" i="41"/>
  <c r="I102" i="41"/>
  <c r="I104" i="41"/>
  <c r="I100" i="41"/>
  <c r="I103" i="41"/>
  <c r="I97" i="41"/>
  <c r="I96" i="41" s="1"/>
  <c r="I106" i="41"/>
  <c r="I105" i="41"/>
  <c r="I107" i="41"/>
  <c r="I98" i="41"/>
  <c r="I108" i="41"/>
  <c r="I101" i="41"/>
  <c r="S105" i="31"/>
  <c r="S104" i="31"/>
  <c r="M93" i="31"/>
  <c r="M101" i="31" s="1"/>
  <c r="O98" i="37"/>
  <c r="I93" i="37"/>
  <c r="S101" i="31"/>
  <c r="I93" i="31"/>
  <c r="I102" i="31" s="1"/>
  <c r="O93" i="41"/>
  <c r="S99" i="31"/>
  <c r="S96" i="31" s="1"/>
  <c r="M101" i="37"/>
  <c r="M106" i="37"/>
  <c r="M102" i="37"/>
  <c r="M98" i="37"/>
  <c r="M103" i="37"/>
  <c r="M105" i="37"/>
  <c r="M104" i="37"/>
  <c r="M97" i="37"/>
  <c r="M108" i="37"/>
  <c r="M99" i="37"/>
  <c r="M107" i="37"/>
  <c r="M100" i="37"/>
  <c r="Q93" i="41"/>
  <c r="I140" i="42"/>
  <c r="Q97" i="31"/>
  <c r="Q103" i="31"/>
  <c r="M103" i="31"/>
  <c r="M105" i="31"/>
  <c r="Q105" i="31"/>
  <c r="M98" i="31"/>
  <c r="M97" i="31"/>
  <c r="M107" i="31"/>
  <c r="Q108" i="31"/>
  <c r="M104" i="31"/>
  <c r="Q104" i="31"/>
  <c r="Q100" i="31"/>
  <c r="M100" i="31"/>
  <c r="Q98" i="31"/>
  <c r="O93" i="31"/>
  <c r="O97" i="31" s="1"/>
  <c r="M99" i="31"/>
  <c r="M106" i="31"/>
  <c r="Q106" i="31"/>
  <c r="S106" i="31"/>
  <c r="Q101" i="31"/>
  <c r="S107" i="31"/>
  <c r="Q102" i="31"/>
  <c r="Q107" i="31"/>
  <c r="I103" i="31"/>
  <c r="I104" i="31"/>
  <c r="I105" i="31"/>
  <c r="I101" i="31"/>
  <c r="I100" i="31"/>
  <c r="I97" i="31"/>
  <c r="I98" i="31"/>
  <c r="I107" i="31"/>
  <c r="I108" i="31"/>
  <c r="K93" i="31"/>
  <c r="I140" i="38"/>
  <c r="I144" i="42"/>
  <c r="I153" i="42" s="1"/>
  <c r="I144" i="38"/>
  <c r="I153" i="38" s="1"/>
  <c r="I140" i="32"/>
  <c r="I144" i="32"/>
  <c r="I153" i="32" s="1"/>
  <c r="Q96" i="37"/>
  <c r="Q109" i="37" s="1"/>
  <c r="Q115" i="37" s="1"/>
  <c r="Q117" i="37" s="1"/>
  <c r="Q133" i="37" s="1"/>
  <c r="Q135" i="37" s="1"/>
  <c r="I150" i="35"/>
  <c r="I152" i="35" s="1"/>
  <c r="I144" i="16"/>
  <c r="I153" i="16" s="1"/>
  <c r="I140" i="16"/>
  <c r="I133" i="15"/>
  <c r="I135" i="15" s="1"/>
  <c r="I138" i="15" s="1"/>
  <c r="I139" i="15" s="1"/>
  <c r="I154" i="15" s="1"/>
  <c r="S133" i="15"/>
  <c r="S135" i="15" s="1"/>
  <c r="S138" i="15" s="1"/>
  <c r="K96" i="37"/>
  <c r="K109" i="37" s="1"/>
  <c r="K115" i="37" s="1"/>
  <c r="K117" i="37" s="1"/>
  <c r="K150" i="37" s="1"/>
  <c r="K152" i="37" s="1"/>
  <c r="S96" i="37"/>
  <c r="S109" i="37" s="1"/>
  <c r="S115" i="37" s="1"/>
  <c r="S117" i="37" s="1"/>
  <c r="S133" i="37" s="1"/>
  <c r="S135" i="37" s="1"/>
  <c r="Q96" i="15"/>
  <c r="Q109" i="15" s="1"/>
  <c r="Q115" i="15" s="1"/>
  <c r="Q117" i="15" s="1"/>
  <c r="Q133" i="15" s="1"/>
  <c r="Q135" i="15" s="1"/>
  <c r="Q138" i="15" s="1"/>
  <c r="Q139" i="15" s="1"/>
  <c r="M96" i="41"/>
  <c r="M109" i="41" s="1"/>
  <c r="M115" i="41" s="1"/>
  <c r="M117" i="41" s="1"/>
  <c r="I96" i="29"/>
  <c r="I109" i="29" s="1"/>
  <c r="I115" i="29" s="1"/>
  <c r="I117" i="29" s="1"/>
  <c r="I133" i="29" s="1"/>
  <c r="I135" i="29" s="1"/>
  <c r="I138" i="29" s="1"/>
  <c r="Q83" i="4"/>
  <c r="Q84" i="4" s="1"/>
  <c r="Q85" i="4"/>
  <c r="Q86" i="4"/>
  <c r="Q87" i="4" s="1"/>
  <c r="Q88" i="4"/>
  <c r="M83" i="4"/>
  <c r="M84" i="4" s="1"/>
  <c r="M85" i="4"/>
  <c r="M86" i="4"/>
  <c r="M87" i="4" s="1"/>
  <c r="M88" i="4"/>
  <c r="I88" i="4"/>
  <c r="I85" i="4"/>
  <c r="I86" i="4"/>
  <c r="I87" i="4" s="1"/>
  <c r="I83" i="4"/>
  <c r="I84" i="4" s="1"/>
  <c r="I83" i="5"/>
  <c r="I84" i="5" s="1"/>
  <c r="I86" i="5"/>
  <c r="I87" i="5" s="1"/>
  <c r="I88" i="5"/>
  <c r="I51" i="5"/>
  <c r="I50" i="5"/>
  <c r="I47" i="5"/>
  <c r="I46" i="5"/>
  <c r="I49" i="5"/>
  <c r="I53" i="5"/>
  <c r="I52" i="5"/>
  <c r="I85" i="5"/>
  <c r="I48" i="5"/>
  <c r="I96" i="28"/>
  <c r="I109" i="28" s="1"/>
  <c r="I115" i="28" s="1"/>
  <c r="I117" i="28" s="1"/>
  <c r="I150" i="28" s="1"/>
  <c r="I152" i="28" s="1"/>
  <c r="M150" i="15"/>
  <c r="M152" i="15" s="1"/>
  <c r="M133" i="15"/>
  <c r="M135" i="15" s="1"/>
  <c r="M138" i="15" s="1"/>
  <c r="I96" i="34"/>
  <c r="I109" i="34" s="1"/>
  <c r="I115" i="34" s="1"/>
  <c r="I117" i="34" s="1"/>
  <c r="K150" i="15"/>
  <c r="K152" i="15" s="1"/>
  <c r="K133" i="15"/>
  <c r="K135" i="15" s="1"/>
  <c r="K138" i="15" s="1"/>
  <c r="O96" i="15"/>
  <c r="O109" i="15" s="1"/>
  <c r="O115" i="15" s="1"/>
  <c r="O117" i="15" s="1"/>
  <c r="I139" i="35"/>
  <c r="I96" i="27"/>
  <c r="I109" i="27" s="1"/>
  <c r="I115" i="27" s="1"/>
  <c r="I117" i="27" s="1"/>
  <c r="I46" i="4"/>
  <c r="Q46" i="4"/>
  <c r="M50" i="4"/>
  <c r="Q52" i="4"/>
  <c r="Q47" i="4"/>
  <c r="M53" i="4"/>
  <c r="M52" i="4"/>
  <c r="Q49" i="4"/>
  <c r="Q48" i="4"/>
  <c r="Q51" i="4"/>
  <c r="S42" i="4"/>
  <c r="S43" i="4" s="1"/>
  <c r="Q50" i="4"/>
  <c r="Q77" i="4"/>
  <c r="M49" i="4"/>
  <c r="O42" i="4"/>
  <c r="O43" i="4" s="1"/>
  <c r="Q53" i="4"/>
  <c r="M46" i="4"/>
  <c r="K42" i="4"/>
  <c r="K43" i="4" s="1"/>
  <c r="M51" i="4"/>
  <c r="M47" i="4"/>
  <c r="M48" i="4"/>
  <c r="M77" i="4"/>
  <c r="I48" i="4"/>
  <c r="I51" i="4"/>
  <c r="I52" i="4"/>
  <c r="I49" i="4"/>
  <c r="I53" i="4"/>
  <c r="I47" i="4"/>
  <c r="I50" i="4"/>
  <c r="I106" i="31" l="1"/>
  <c r="I99" i="31"/>
  <c r="O96" i="37"/>
  <c r="O109" i="37" s="1"/>
  <c r="O115" i="37" s="1"/>
  <c r="O117" i="37" s="1"/>
  <c r="O133" i="37" s="1"/>
  <c r="O135" i="37" s="1"/>
  <c r="K96" i="41"/>
  <c r="K109" i="41" s="1"/>
  <c r="K115" i="41" s="1"/>
  <c r="K117" i="41" s="1"/>
  <c r="K133" i="41" s="1"/>
  <c r="K135" i="41" s="1"/>
  <c r="K138" i="41" s="1"/>
  <c r="K139" i="41" s="1"/>
  <c r="I109" i="41"/>
  <c r="I115" i="41" s="1"/>
  <c r="I117" i="41" s="1"/>
  <c r="M96" i="37"/>
  <c r="M109" i="37" s="1"/>
  <c r="M115" i="37" s="1"/>
  <c r="M117" i="37" s="1"/>
  <c r="O103" i="41"/>
  <c r="O106" i="41"/>
  <c r="O97" i="41"/>
  <c r="O101" i="41"/>
  <c r="O105" i="41"/>
  <c r="O98" i="41"/>
  <c r="O99" i="41"/>
  <c r="O108" i="41"/>
  <c r="O107" i="41"/>
  <c r="O102" i="41"/>
  <c r="O104" i="41"/>
  <c r="O100" i="41"/>
  <c r="K150" i="41"/>
  <c r="K152" i="41" s="1"/>
  <c r="K154" i="41" s="1"/>
  <c r="K156" i="41" s="1"/>
  <c r="Q101" i="41"/>
  <c r="Q108" i="41"/>
  <c r="Q100" i="41"/>
  <c r="Q106" i="41"/>
  <c r="Q107" i="41"/>
  <c r="Q104" i="41"/>
  <c r="Q102" i="41"/>
  <c r="Q97" i="41"/>
  <c r="Q105" i="41"/>
  <c r="Q98" i="41"/>
  <c r="Q99" i="41"/>
  <c r="Q103" i="41"/>
  <c r="S96" i="41"/>
  <c r="S109" i="41" s="1"/>
  <c r="S115" i="41" s="1"/>
  <c r="S117" i="41" s="1"/>
  <c r="M108" i="31"/>
  <c r="M102" i="31"/>
  <c r="I100" i="37"/>
  <c r="I103" i="37"/>
  <c r="I108" i="37"/>
  <c r="I97" i="37"/>
  <c r="I106" i="37"/>
  <c r="I101" i="37"/>
  <c r="I107" i="37"/>
  <c r="I98" i="37"/>
  <c r="I104" i="37"/>
  <c r="I99" i="37"/>
  <c r="I105" i="37"/>
  <c r="I102" i="37"/>
  <c r="O150" i="37"/>
  <c r="O152" i="37" s="1"/>
  <c r="O107" i="31"/>
  <c r="O101" i="31"/>
  <c r="I154" i="35"/>
  <c r="I141" i="35" s="1"/>
  <c r="S109" i="31"/>
  <c r="S115" i="31" s="1"/>
  <c r="S117" i="31" s="1"/>
  <c r="S150" i="31" s="1"/>
  <c r="S152" i="31" s="1"/>
  <c r="M96" i="31"/>
  <c r="M109" i="31" s="1"/>
  <c r="M115" i="31" s="1"/>
  <c r="M117" i="31" s="1"/>
  <c r="M133" i="31" s="1"/>
  <c r="M135" i="31" s="1"/>
  <c r="Q96" i="31"/>
  <c r="Q109" i="31" s="1"/>
  <c r="Q115" i="31" s="1"/>
  <c r="Q117" i="31" s="1"/>
  <c r="Q133" i="31" s="1"/>
  <c r="Q135" i="31" s="1"/>
  <c r="Q138" i="31" s="1"/>
  <c r="Q139" i="31" s="1"/>
  <c r="O105" i="31"/>
  <c r="O103" i="31"/>
  <c r="O106" i="31"/>
  <c r="O108" i="31"/>
  <c r="O104" i="31"/>
  <c r="O99" i="31"/>
  <c r="O102" i="31"/>
  <c r="O100" i="31"/>
  <c r="O98" i="31"/>
  <c r="K106" i="31"/>
  <c r="K103" i="31"/>
  <c r="K99" i="31"/>
  <c r="K105" i="31"/>
  <c r="K107" i="31"/>
  <c r="K97" i="31"/>
  <c r="K100" i="31"/>
  <c r="K102" i="31"/>
  <c r="K108" i="31"/>
  <c r="K98" i="31"/>
  <c r="K101" i="31"/>
  <c r="K104" i="31"/>
  <c r="I96" i="31"/>
  <c r="I109" i="31" s="1"/>
  <c r="I115" i="31" s="1"/>
  <c r="I117" i="31" s="1"/>
  <c r="I150" i="31" s="1"/>
  <c r="I152" i="31" s="1"/>
  <c r="Q150" i="37"/>
  <c r="Q152" i="37" s="1"/>
  <c r="K143" i="41"/>
  <c r="K142" i="41"/>
  <c r="K141" i="41"/>
  <c r="K133" i="37"/>
  <c r="K135" i="37" s="1"/>
  <c r="K138" i="37" s="1"/>
  <c r="S139" i="15"/>
  <c r="S154" i="15" s="1"/>
  <c r="S142" i="15" s="1"/>
  <c r="I150" i="29"/>
  <c r="I152" i="29" s="1"/>
  <c r="I139" i="29"/>
  <c r="S150" i="37"/>
  <c r="S152" i="37" s="1"/>
  <c r="Q150" i="15"/>
  <c r="Q152" i="15" s="1"/>
  <c r="Q154" i="15" s="1"/>
  <c r="O138" i="37"/>
  <c r="M150" i="41"/>
  <c r="M152" i="41" s="1"/>
  <c r="M133" i="41"/>
  <c r="M135" i="41" s="1"/>
  <c r="M138" i="41" s="1"/>
  <c r="M139" i="41" s="1"/>
  <c r="Q138" i="37"/>
  <c r="Q139" i="37" s="1"/>
  <c r="S138" i="37"/>
  <c r="S139" i="37" s="1"/>
  <c r="S133" i="31"/>
  <c r="S135" i="31" s="1"/>
  <c r="S138" i="31" s="1"/>
  <c r="S139" i="31" s="1"/>
  <c r="S154" i="31" s="1"/>
  <c r="S83" i="4"/>
  <c r="S84" i="4" s="1"/>
  <c r="S88" i="4"/>
  <c r="S85" i="4"/>
  <c r="S86" i="4"/>
  <c r="S87" i="4" s="1"/>
  <c r="O83" i="4"/>
  <c r="O84" i="4" s="1"/>
  <c r="O88" i="4"/>
  <c r="O85" i="4"/>
  <c r="O86" i="4"/>
  <c r="O87" i="4" s="1"/>
  <c r="K83" i="4"/>
  <c r="K84" i="4" s="1"/>
  <c r="K85" i="4"/>
  <c r="K88" i="4"/>
  <c r="K86" i="4"/>
  <c r="K87" i="4" s="1"/>
  <c r="I54" i="5"/>
  <c r="I78" i="5" s="1"/>
  <c r="I80" i="5" s="1"/>
  <c r="I91" i="5" s="1"/>
  <c r="I89" i="5"/>
  <c r="I92" i="5" s="1"/>
  <c r="I133" i="28"/>
  <c r="I135" i="28" s="1"/>
  <c r="I138" i="28" s="1"/>
  <c r="I143" i="35"/>
  <c r="O150" i="15"/>
  <c r="O152" i="15" s="1"/>
  <c r="O133" i="15"/>
  <c r="O135" i="15" s="1"/>
  <c r="O138" i="15" s="1"/>
  <c r="G7" i="17"/>
  <c r="H7" i="17" s="1"/>
  <c r="I141" i="15"/>
  <c r="I142" i="15"/>
  <c r="I143" i="15"/>
  <c r="I156" i="15"/>
  <c r="I133" i="34"/>
  <c r="I135" i="34" s="1"/>
  <c r="I138" i="34" s="1"/>
  <c r="I150" i="34"/>
  <c r="I152" i="34" s="1"/>
  <c r="M139" i="15"/>
  <c r="M154" i="15" s="1"/>
  <c r="K139" i="15"/>
  <c r="K154" i="15" s="1"/>
  <c r="I133" i="27"/>
  <c r="I135" i="27" s="1"/>
  <c r="I138" i="27" s="1"/>
  <c r="I152" i="27"/>
  <c r="K51" i="4"/>
  <c r="S52" i="4"/>
  <c r="O46" i="4"/>
  <c r="Q54" i="4"/>
  <c r="Q78" i="4" s="1"/>
  <c r="Q80" i="4" s="1"/>
  <c r="Q91" i="4" s="1"/>
  <c r="S50" i="4"/>
  <c r="O47" i="4"/>
  <c r="O51" i="4"/>
  <c r="O48" i="4"/>
  <c r="O52" i="4"/>
  <c r="S49" i="4"/>
  <c r="O50" i="4"/>
  <c r="O49" i="4"/>
  <c r="O53" i="4"/>
  <c r="S47" i="4"/>
  <c r="S46" i="4"/>
  <c r="S53" i="4"/>
  <c r="S51" i="4"/>
  <c r="S48" i="4"/>
  <c r="M54" i="4"/>
  <c r="M78" i="4" s="1"/>
  <c r="M80" i="4" s="1"/>
  <c r="M148" i="4" s="1"/>
  <c r="K49" i="4"/>
  <c r="K52" i="4"/>
  <c r="K50" i="4"/>
  <c r="K47" i="4"/>
  <c r="K46" i="4"/>
  <c r="K53" i="4"/>
  <c r="K48" i="4"/>
  <c r="I54" i="4"/>
  <c r="I78" i="4" s="1"/>
  <c r="I80" i="4" s="1"/>
  <c r="I131" i="4" s="1"/>
  <c r="Q150" i="31" l="1"/>
  <c r="Q152" i="31" s="1"/>
  <c r="G8" i="43"/>
  <c r="H8" i="43" s="1"/>
  <c r="I8" i="43" s="1"/>
  <c r="M150" i="31"/>
  <c r="M152" i="31" s="1"/>
  <c r="Q96" i="41"/>
  <c r="Q109" i="41" s="1"/>
  <c r="Q115" i="41" s="1"/>
  <c r="Q117" i="41" s="1"/>
  <c r="O96" i="41"/>
  <c r="O109" i="41" s="1"/>
  <c r="O115" i="41" s="1"/>
  <c r="O117" i="41" s="1"/>
  <c r="S133" i="41"/>
  <c r="S135" i="41" s="1"/>
  <c r="S138" i="41" s="1"/>
  <c r="S139" i="41" s="1"/>
  <c r="S154" i="41" s="1"/>
  <c r="S150" i="41"/>
  <c r="S152" i="41" s="1"/>
  <c r="K140" i="41"/>
  <c r="I96" i="37"/>
  <c r="I109" i="37" s="1"/>
  <c r="I115" i="37" s="1"/>
  <c r="I117" i="37" s="1"/>
  <c r="M150" i="37"/>
  <c r="M152" i="37" s="1"/>
  <c r="M133" i="37"/>
  <c r="M135" i="37" s="1"/>
  <c r="I150" i="41"/>
  <c r="I152" i="41" s="1"/>
  <c r="I154" i="41" s="1"/>
  <c r="I133" i="41"/>
  <c r="I135" i="41" s="1"/>
  <c r="I138" i="41" s="1"/>
  <c r="I139" i="41" s="1"/>
  <c r="I156" i="35"/>
  <c r="I142" i="35"/>
  <c r="I144" i="35" s="1"/>
  <c r="I153" i="35" s="1"/>
  <c r="O96" i="31"/>
  <c r="O109" i="31" s="1"/>
  <c r="O115" i="31" s="1"/>
  <c r="O117" i="31" s="1"/>
  <c r="O150" i="31" s="1"/>
  <c r="O152" i="31" s="1"/>
  <c r="I133" i="31"/>
  <c r="I135" i="31" s="1"/>
  <c r="I138" i="31" s="1"/>
  <c r="I139" i="31" s="1"/>
  <c r="K96" i="31"/>
  <c r="K109" i="31" s="1"/>
  <c r="K115" i="31" s="1"/>
  <c r="K117" i="31" s="1"/>
  <c r="S141" i="15"/>
  <c r="K144" i="41"/>
  <c r="K153" i="41" s="1"/>
  <c r="S154" i="37"/>
  <c r="S142" i="37" s="1"/>
  <c r="S143" i="15"/>
  <c r="G12" i="17"/>
  <c r="H12" i="17" s="1"/>
  <c r="I12" i="17" s="1"/>
  <c r="S156" i="15"/>
  <c r="I154" i="29"/>
  <c r="I141" i="29" s="1"/>
  <c r="Q143" i="15"/>
  <c r="Q141" i="15"/>
  <c r="G11" i="17"/>
  <c r="H11" i="17" s="1"/>
  <c r="I11" i="17" s="1"/>
  <c r="Q156" i="15"/>
  <c r="Q142" i="15"/>
  <c r="Q154" i="37"/>
  <c r="O139" i="37"/>
  <c r="O154" i="37" s="1"/>
  <c r="M154" i="41"/>
  <c r="K139" i="37"/>
  <c r="K154" i="37" s="1"/>
  <c r="I132" i="5"/>
  <c r="I149" i="5"/>
  <c r="I93" i="5"/>
  <c r="I106" i="5" s="1"/>
  <c r="I131" i="5"/>
  <c r="I148" i="5"/>
  <c r="Q154" i="31"/>
  <c r="Q142" i="31" s="1"/>
  <c r="I139" i="28"/>
  <c r="I154" i="28" s="1"/>
  <c r="I156" i="28" s="1"/>
  <c r="I140" i="15"/>
  <c r="G12" i="33"/>
  <c r="H12" i="33" s="1"/>
  <c r="I12" i="33" s="1"/>
  <c r="S142" i="31"/>
  <c r="S143" i="31"/>
  <c r="S141" i="31"/>
  <c r="S156" i="31"/>
  <c r="K142" i="15"/>
  <c r="K143" i="15"/>
  <c r="G8" i="17"/>
  <c r="H8" i="17" s="1"/>
  <c r="I8" i="17" s="1"/>
  <c r="K156" i="15"/>
  <c r="K141" i="15"/>
  <c r="I139" i="27"/>
  <c r="I154" i="27" s="1"/>
  <c r="O139" i="15"/>
  <c r="O154" i="15" s="1"/>
  <c r="I139" i="34"/>
  <c r="I154" i="34" s="1"/>
  <c r="I7" i="17"/>
  <c r="I144" i="15"/>
  <c r="I153" i="15" s="1"/>
  <c r="M138" i="31"/>
  <c r="M139" i="31" s="1"/>
  <c r="M154" i="31" s="1"/>
  <c r="M156" i="15"/>
  <c r="M142" i="15"/>
  <c r="M141" i="15"/>
  <c r="G9" i="17"/>
  <c r="H9" i="17" s="1"/>
  <c r="I9" i="17" s="1"/>
  <c r="M143" i="15"/>
  <c r="S54" i="4"/>
  <c r="S78" i="4" s="1"/>
  <c r="S80" i="4" s="1"/>
  <c r="S148" i="4" s="1"/>
  <c r="Q131" i="4"/>
  <c r="O54" i="4"/>
  <c r="O78" i="4" s="1"/>
  <c r="O80" i="4" s="1"/>
  <c r="O91" i="4" s="1"/>
  <c r="Q148" i="4"/>
  <c r="M131" i="4"/>
  <c r="M91" i="4"/>
  <c r="I89" i="4"/>
  <c r="I132" i="4" s="1"/>
  <c r="K54" i="4"/>
  <c r="K78" i="4" s="1"/>
  <c r="K80" i="4" s="1"/>
  <c r="I91" i="4"/>
  <c r="I148" i="4"/>
  <c r="I150" i="37" l="1"/>
  <c r="I152" i="37" s="1"/>
  <c r="I133" i="37"/>
  <c r="I135" i="37" s="1"/>
  <c r="I138" i="37" s="1"/>
  <c r="I139" i="37" s="1"/>
  <c r="I154" i="37" s="1"/>
  <c r="G12" i="43"/>
  <c r="H12" i="43" s="1"/>
  <c r="I12" i="43" s="1"/>
  <c r="S141" i="41"/>
  <c r="S156" i="41"/>
  <c r="S143" i="41"/>
  <c r="S142" i="41"/>
  <c r="O133" i="41"/>
  <c r="O135" i="41" s="1"/>
  <c r="O138" i="41" s="1"/>
  <c r="O139" i="41" s="1"/>
  <c r="O154" i="41" s="1"/>
  <c r="O150" i="41"/>
  <c r="O152" i="41" s="1"/>
  <c r="Q133" i="41"/>
  <c r="Q135" i="41" s="1"/>
  <c r="Q138" i="41" s="1"/>
  <c r="Q139" i="41" s="1"/>
  <c r="Q150" i="41"/>
  <c r="Q152" i="41" s="1"/>
  <c r="O133" i="31"/>
  <c r="O135" i="31" s="1"/>
  <c r="O138" i="31" s="1"/>
  <c r="O139" i="31" s="1"/>
  <c r="M138" i="37"/>
  <c r="M139" i="37"/>
  <c r="M154" i="37" s="1"/>
  <c r="I140" i="35"/>
  <c r="O154" i="31"/>
  <c r="G10" i="33" s="1"/>
  <c r="H10" i="33" s="1"/>
  <c r="I10" i="33" s="1"/>
  <c r="S144" i="15"/>
  <c r="S153" i="15" s="1"/>
  <c r="K150" i="31"/>
  <c r="K152" i="31" s="1"/>
  <c r="K133" i="31"/>
  <c r="K135" i="31" s="1"/>
  <c r="K138" i="31" s="1"/>
  <c r="K139" i="31" s="1"/>
  <c r="I105" i="5"/>
  <c r="I107" i="5"/>
  <c r="S141" i="37"/>
  <c r="I98" i="5"/>
  <c r="S140" i="15"/>
  <c r="S143" i="37"/>
  <c r="G12" i="39"/>
  <c r="H12" i="39" s="1"/>
  <c r="I12" i="39" s="1"/>
  <c r="S156" i="37"/>
  <c r="I101" i="5"/>
  <c r="I99" i="5"/>
  <c r="I142" i="29"/>
  <c r="I143" i="29"/>
  <c r="I156" i="29"/>
  <c r="Q140" i="15"/>
  <c r="O141" i="37"/>
  <c r="O142" i="37"/>
  <c r="O156" i="37"/>
  <c r="G10" i="39"/>
  <c r="H10" i="39" s="1"/>
  <c r="I10" i="39" s="1"/>
  <c r="O143" i="37"/>
  <c r="G7" i="39"/>
  <c r="H7" i="39" s="1"/>
  <c r="I141" i="37"/>
  <c r="I143" i="37"/>
  <c r="I142" i="37"/>
  <c r="I156" i="37"/>
  <c r="M141" i="41"/>
  <c r="M143" i="41"/>
  <c r="M156" i="41"/>
  <c r="G9" i="43"/>
  <c r="H9" i="43" s="1"/>
  <c r="I9" i="43" s="1"/>
  <c r="M142" i="41"/>
  <c r="Q141" i="37"/>
  <c r="Q142" i="37"/>
  <c r="G11" i="39"/>
  <c r="H11" i="39" s="1"/>
  <c r="I11" i="39" s="1"/>
  <c r="Q143" i="37"/>
  <c r="Q156" i="37"/>
  <c r="Q144" i="15"/>
  <c r="Q153" i="15" s="1"/>
  <c r="I141" i="41"/>
  <c r="I156" i="41"/>
  <c r="I143" i="41"/>
  <c r="I142" i="41"/>
  <c r="G7" i="43"/>
  <c r="H7" i="43" s="1"/>
  <c r="K156" i="37"/>
  <c r="K142" i="37"/>
  <c r="G8" i="39"/>
  <c r="H8" i="39" s="1"/>
  <c r="I8" i="39" s="1"/>
  <c r="K143" i="37"/>
  <c r="K141" i="37"/>
  <c r="I102" i="5"/>
  <c r="I103" i="5"/>
  <c r="Q141" i="31"/>
  <c r="I100" i="5"/>
  <c r="I97" i="5"/>
  <c r="I108" i="5"/>
  <c r="I104" i="5"/>
  <c r="Q156" i="31"/>
  <c r="Q143" i="31"/>
  <c r="G11" i="33"/>
  <c r="H11" i="33" s="1"/>
  <c r="I11" i="33" s="1"/>
  <c r="S144" i="31"/>
  <c r="S153" i="31" s="1"/>
  <c r="I143" i="28"/>
  <c r="I142" i="28"/>
  <c r="I141" i="28"/>
  <c r="K144" i="15"/>
  <c r="K153" i="15" s="1"/>
  <c r="S140" i="31"/>
  <c r="I143" i="27"/>
  <c r="I156" i="27"/>
  <c r="I142" i="27"/>
  <c r="I141" i="27"/>
  <c r="M140" i="15"/>
  <c r="M144" i="15"/>
  <c r="M153" i="15" s="1"/>
  <c r="O142" i="15"/>
  <c r="G10" i="17"/>
  <c r="H10" i="17" s="1"/>
  <c r="O141" i="15"/>
  <c r="O143" i="15"/>
  <c r="O156" i="15"/>
  <c r="I156" i="34"/>
  <c r="I142" i="34"/>
  <c r="I141" i="34"/>
  <c r="I143" i="34"/>
  <c r="K140" i="15"/>
  <c r="G9" i="33"/>
  <c r="H9" i="33" s="1"/>
  <c r="I9" i="33" s="1"/>
  <c r="M143" i="31"/>
  <c r="M141" i="31"/>
  <c r="M156" i="31"/>
  <c r="M142" i="31"/>
  <c r="I154" i="31"/>
  <c r="K89" i="4"/>
  <c r="K132" i="4" s="1"/>
  <c r="S131" i="4"/>
  <c r="S91" i="4"/>
  <c r="O148" i="4"/>
  <c r="O131" i="4"/>
  <c r="S89" i="4"/>
  <c r="S149" i="4" s="1"/>
  <c r="M89" i="4"/>
  <c r="I149" i="4"/>
  <c r="O89" i="4"/>
  <c r="Q89" i="4"/>
  <c r="I92" i="4"/>
  <c r="I93" i="4" s="1"/>
  <c r="K131" i="4"/>
  <c r="K148" i="4"/>
  <c r="K91" i="4"/>
  <c r="G9" i="39" l="1"/>
  <c r="H9" i="39" s="1"/>
  <c r="I9" i="39" s="1"/>
  <c r="M143" i="37"/>
  <c r="M141" i="37"/>
  <c r="M156" i="37"/>
  <c r="M142" i="37"/>
  <c r="O141" i="41"/>
  <c r="O156" i="41"/>
  <c r="O142" i="41"/>
  <c r="G10" i="43"/>
  <c r="H10" i="43" s="1"/>
  <c r="I10" i="43" s="1"/>
  <c r="O143" i="41"/>
  <c r="S140" i="41"/>
  <c r="S144" i="41"/>
  <c r="S153" i="41" s="1"/>
  <c r="Q154" i="41"/>
  <c r="S144" i="37"/>
  <c r="S153" i="37" s="1"/>
  <c r="O141" i="31"/>
  <c r="O143" i="31"/>
  <c r="O142" i="31"/>
  <c r="O156" i="31"/>
  <c r="K154" i="31"/>
  <c r="K156" i="31" s="1"/>
  <c r="G8" i="33"/>
  <c r="H8" i="33" s="1"/>
  <c r="I8" i="33" s="1"/>
  <c r="I96" i="5"/>
  <c r="I109" i="5" s="1"/>
  <c r="I115" i="5" s="1"/>
  <c r="I117" i="5" s="1"/>
  <c r="S140" i="37"/>
  <c r="M144" i="41"/>
  <c r="M153" i="41" s="1"/>
  <c r="K140" i="37"/>
  <c r="I140" i="29"/>
  <c r="I144" i="29"/>
  <c r="I153" i="29" s="1"/>
  <c r="I140" i="28"/>
  <c r="Q144" i="37"/>
  <c r="Q153" i="37" s="1"/>
  <c r="K144" i="37"/>
  <c r="K153" i="37" s="1"/>
  <c r="I144" i="37"/>
  <c r="I153" i="37" s="1"/>
  <c r="I140" i="37"/>
  <c r="I7" i="43"/>
  <c r="I7" i="39"/>
  <c r="I14" i="39" s="1"/>
  <c r="H14" i="39"/>
  <c r="Q144" i="31"/>
  <c r="Q153" i="31" s="1"/>
  <c r="M140" i="41"/>
  <c r="I140" i="41"/>
  <c r="I144" i="41"/>
  <c r="I153" i="41" s="1"/>
  <c r="Q140" i="37"/>
  <c r="O140" i="37"/>
  <c r="O144" i="37"/>
  <c r="O153" i="37" s="1"/>
  <c r="Q140" i="31"/>
  <c r="M144" i="31"/>
  <c r="M153" i="31" s="1"/>
  <c r="I144" i="28"/>
  <c r="I153" i="28" s="1"/>
  <c r="I140" i="34"/>
  <c r="I144" i="34"/>
  <c r="I153" i="34" s="1"/>
  <c r="I10" i="17"/>
  <c r="I14" i="17" s="1"/>
  <c r="H14" i="17"/>
  <c r="I140" i="27"/>
  <c r="I144" i="27"/>
  <c r="I153" i="27" s="1"/>
  <c r="G7" i="33"/>
  <c r="H7" i="33" s="1"/>
  <c r="I141" i="31"/>
  <c r="I142" i="31"/>
  <c r="I143" i="31"/>
  <c r="I156" i="31"/>
  <c r="M140" i="31"/>
  <c r="O140" i="15"/>
  <c r="O144" i="15"/>
  <c r="O153" i="15" s="1"/>
  <c r="I102" i="4"/>
  <c r="I101" i="4"/>
  <c r="I106" i="4"/>
  <c r="I108" i="4"/>
  <c r="I100" i="4"/>
  <c r="I107" i="4"/>
  <c r="I99" i="4"/>
  <c r="I105" i="4"/>
  <c r="I97" i="4"/>
  <c r="I104" i="4"/>
  <c r="I103" i="4"/>
  <c r="I98" i="4"/>
  <c r="K92" i="4"/>
  <c r="K93" i="4" s="1"/>
  <c r="K149" i="4"/>
  <c r="S92" i="4"/>
  <c r="S93" i="4" s="1"/>
  <c r="S132" i="4"/>
  <c r="M92" i="4"/>
  <c r="M93" i="4" s="1"/>
  <c r="M132" i="4"/>
  <c r="M149" i="4"/>
  <c r="Q149" i="4"/>
  <c r="Q92" i="4"/>
  <c r="Q93" i="4" s="1"/>
  <c r="Q132" i="4"/>
  <c r="O92" i="4"/>
  <c r="O93" i="4" s="1"/>
  <c r="O149" i="4"/>
  <c r="O132" i="4"/>
  <c r="O144" i="31" l="1"/>
  <c r="O153" i="31" s="1"/>
  <c r="G11" i="43"/>
  <c r="H11" i="43" s="1"/>
  <c r="Q142" i="41"/>
  <c r="Q143" i="41"/>
  <c r="Q141" i="41"/>
  <c r="Q156" i="41"/>
  <c r="O140" i="41"/>
  <c r="O144" i="41"/>
  <c r="O153" i="41" s="1"/>
  <c r="M140" i="37"/>
  <c r="M144" i="37"/>
  <c r="M153" i="37" s="1"/>
  <c r="K143" i="31"/>
  <c r="O140" i="31"/>
  <c r="K141" i="31"/>
  <c r="K142" i="31"/>
  <c r="K140" i="31" s="1"/>
  <c r="I7" i="33"/>
  <c r="I14" i="33" s="1"/>
  <c r="H14" i="33"/>
  <c r="I144" i="31"/>
  <c r="I153" i="31" s="1"/>
  <c r="I140" i="31"/>
  <c r="O108" i="4"/>
  <c r="O105" i="4"/>
  <c r="O103" i="4"/>
  <c r="O101" i="4"/>
  <c r="O102" i="4"/>
  <c r="O104" i="4"/>
  <c r="O106" i="4"/>
  <c r="O97" i="4"/>
  <c r="O107" i="4"/>
  <c r="O100" i="4"/>
  <c r="O98" i="4"/>
  <c r="O99" i="4"/>
  <c r="Q102" i="4"/>
  <c r="Q107" i="4"/>
  <c r="Q104" i="4"/>
  <c r="Q98" i="4"/>
  <c r="Q100" i="4"/>
  <c r="Q108" i="4"/>
  <c r="Q97" i="4"/>
  <c r="Q99" i="4"/>
  <c r="Q103" i="4"/>
  <c r="Q101" i="4"/>
  <c r="Q106" i="4"/>
  <c r="Q105" i="4"/>
  <c r="M103" i="4"/>
  <c r="M105" i="4"/>
  <c r="M107" i="4"/>
  <c r="M98" i="4"/>
  <c r="M104" i="4"/>
  <c r="M108" i="4"/>
  <c r="M102" i="4"/>
  <c r="M106" i="4"/>
  <c r="M100" i="4"/>
  <c r="M99" i="4"/>
  <c r="M101" i="4"/>
  <c r="M97" i="4"/>
  <c r="K106" i="4"/>
  <c r="K103" i="4"/>
  <c r="K107" i="4"/>
  <c r="K98" i="4"/>
  <c r="K105" i="4"/>
  <c r="K99" i="4"/>
  <c r="K97" i="4"/>
  <c r="K104" i="4"/>
  <c r="K101" i="4"/>
  <c r="K108" i="4"/>
  <c r="K102" i="4"/>
  <c r="K100" i="4"/>
  <c r="S99" i="4"/>
  <c r="S104" i="4"/>
  <c r="S108" i="4"/>
  <c r="S101" i="4"/>
  <c r="S102" i="4"/>
  <c r="S106" i="4"/>
  <c r="S105" i="4"/>
  <c r="S107" i="4"/>
  <c r="S100" i="4"/>
  <c r="S97" i="4"/>
  <c r="S98" i="4"/>
  <c r="S103" i="4"/>
  <c r="I96" i="4"/>
  <c r="I109" i="4" s="1"/>
  <c r="Q144" i="41" l="1"/>
  <c r="Q153" i="41" s="1"/>
  <c r="Q140" i="41"/>
  <c r="I11" i="43"/>
  <c r="I14" i="43" s="1"/>
  <c r="H14" i="43"/>
  <c r="K144" i="31"/>
  <c r="K153" i="31" s="1"/>
  <c r="K96" i="4"/>
  <c r="Q96" i="4"/>
  <c r="S96" i="4"/>
  <c r="S109" i="4" s="1"/>
  <c r="O96" i="4"/>
  <c r="M96" i="4"/>
  <c r="I115" i="4"/>
  <c r="I117" i="4" s="1"/>
  <c r="I150" i="5"/>
  <c r="I152" i="5" s="1"/>
  <c r="I133" i="5"/>
  <c r="I135" i="5" s="1"/>
  <c r="I138" i="5" l="1"/>
  <c r="I139" i="5" s="1"/>
  <c r="I150" i="4"/>
  <c r="I133" i="4"/>
  <c r="O109" i="4"/>
  <c r="O115" i="4" s="1"/>
  <c r="O117" i="4" s="1"/>
  <c r="Q109" i="4"/>
  <c r="Q115" i="4" s="1"/>
  <c r="Q117" i="4" s="1"/>
  <c r="K109" i="4"/>
  <c r="K115" i="4" s="1"/>
  <c r="K117" i="4" s="1"/>
  <c r="S115" i="4"/>
  <c r="S117" i="4" s="1"/>
  <c r="M109" i="4"/>
  <c r="M115" i="4" s="1"/>
  <c r="M117" i="4" s="1"/>
  <c r="I154" i="5" l="1"/>
  <c r="S150" i="4"/>
  <c r="S133" i="4"/>
  <c r="M133" i="4"/>
  <c r="M150" i="4"/>
  <c r="Q133" i="4"/>
  <c r="Q150" i="4"/>
  <c r="K150" i="4"/>
  <c r="K133" i="4"/>
  <c r="O133" i="4"/>
  <c r="O150" i="4"/>
  <c r="I143" i="5" l="1"/>
  <c r="I142" i="5"/>
  <c r="I141" i="5"/>
  <c r="G13" i="1"/>
  <c r="H13" i="1" s="1"/>
  <c r="I13" i="1" s="1"/>
  <c r="I156" i="5"/>
  <c r="S151" i="4"/>
  <c r="S152" i="4" s="1"/>
  <c r="M151" i="4"/>
  <c r="M152" i="4" s="1"/>
  <c r="I144" i="5" l="1"/>
  <c r="I140" i="5"/>
  <c r="S134" i="4"/>
  <c r="S135" i="4" s="1"/>
  <c r="S138" i="4" s="1"/>
  <c r="S139" i="4" s="1"/>
  <c r="M134" i="4"/>
  <c r="M135" i="4" s="1"/>
  <c r="M138" i="4" s="1"/>
  <c r="M139" i="4" s="1"/>
  <c r="O151" i="4"/>
  <c r="O152" i="4" s="1"/>
  <c r="O134" i="4"/>
  <c r="O135" i="4" s="1"/>
  <c r="O138" i="4" s="1"/>
  <c r="O139" i="4" s="1"/>
  <c r="Q134" i="4"/>
  <c r="Q135" i="4" s="1"/>
  <c r="Q138" i="4" s="1"/>
  <c r="Q139" i="4" s="1"/>
  <c r="Q151" i="4"/>
  <c r="Q152" i="4" s="1"/>
  <c r="M154" i="4" l="1"/>
  <c r="M142" i="4" s="1"/>
  <c r="S154" i="4"/>
  <c r="M143" i="4" l="1"/>
  <c r="G9" i="1"/>
  <c r="H9" i="1" s="1"/>
  <c r="I9" i="1" s="1"/>
  <c r="M156" i="4"/>
  <c r="M141" i="4"/>
  <c r="S142" i="4"/>
  <c r="S141" i="4"/>
  <c r="S143" i="4"/>
  <c r="G12" i="1"/>
  <c r="H12" i="1" s="1"/>
  <c r="I12" i="1" s="1"/>
  <c r="S156" i="4"/>
  <c r="O154" i="4"/>
  <c r="Q154" i="4"/>
  <c r="M144" i="4" l="1"/>
  <c r="M153" i="4" s="1"/>
  <c r="M140" i="4"/>
  <c r="S140" i="4"/>
  <c r="Q141" i="4"/>
  <c r="Q142" i="4"/>
  <c r="Q143" i="4"/>
  <c r="O156" i="4"/>
  <c r="O142" i="4"/>
  <c r="O141" i="4"/>
  <c r="O143" i="4"/>
  <c r="G10" i="1"/>
  <c r="H10" i="1" s="1"/>
  <c r="I10" i="1" s="1"/>
  <c r="S144" i="4"/>
  <c r="S153" i="4" s="1"/>
  <c r="G11" i="1"/>
  <c r="H11" i="1" s="1"/>
  <c r="I11" i="1" s="1"/>
  <c r="Q156" i="4"/>
  <c r="Q140" i="4" l="1"/>
  <c r="O140" i="4"/>
  <c r="O144" i="4"/>
  <c r="O153" i="4" s="1"/>
  <c r="Q144" i="4"/>
  <c r="Q153" i="4" s="1"/>
  <c r="I129" i="4"/>
  <c r="I151" i="4" l="1"/>
  <c r="I152" i="4" s="1"/>
  <c r="I134" i="4" l="1"/>
  <c r="I135" i="4" s="1"/>
  <c r="I138" i="4" l="1"/>
  <c r="I139" i="4" s="1"/>
  <c r="I154" i="4" s="1"/>
  <c r="I142" i="4" l="1"/>
  <c r="G7" i="1"/>
  <c r="H7" i="1" s="1"/>
  <c r="I143" i="4"/>
  <c r="I156" i="4"/>
  <c r="I141" i="4"/>
  <c r="I140" i="4" l="1"/>
  <c r="I7" i="1"/>
  <c r="I144" i="4"/>
  <c r="I153" i="4" s="1"/>
  <c r="K129" i="4"/>
  <c r="K151" i="4" l="1"/>
  <c r="K152" i="4" s="1"/>
  <c r="K134" i="4"/>
  <c r="K135" i="4" s="1"/>
  <c r="K138" i="4" l="1"/>
  <c r="K139" i="4" s="1"/>
  <c r="K154" i="4" s="1"/>
  <c r="K141" i="4" l="1"/>
  <c r="K142" i="4"/>
  <c r="K143" i="4"/>
  <c r="K156" i="4"/>
  <c r="G8" i="1"/>
  <c r="H8" i="1" s="1"/>
  <c r="H14" i="1" s="1"/>
  <c r="K140" i="4" l="1"/>
  <c r="I8" i="1"/>
  <c r="I14" i="1" s="1"/>
  <c r="K144" i="4"/>
  <c r="K153" i="4" s="1"/>
  <c r="I15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Marcio J. Ferro</author>
    <author>Rossicléia Ferreira Campos</author>
    <author>Janayra Saraiva Lopes</author>
    <author>Marcelo Hiroshi Yamamoto</author>
    <author>Silvino Schlickmann Junior</author>
  </authors>
  <commentList>
    <comment ref="H17" authorId="0" shapeId="0" xr:uid="{B0091962-0FEB-4E67-A67D-E85CF97889A5}">
      <text>
        <r>
          <rPr>
            <sz val="9"/>
            <color indexed="81"/>
            <rFont val="Segoe UI"/>
            <charset val="1"/>
          </rPr>
          <t xml:space="preserve">Salário integral conforme convenção coletiva, normalmente para jornada de 220 horas/mês (Recepcionista) e de 180 horas/mês (Telefonista). 
Foi utilizada para a formação de custos referêncial dos postos a Convenção Coletiva 2021-2023 do </t>
        </r>
        <r>
          <rPr>
            <b/>
            <sz val="9"/>
            <color indexed="81"/>
            <rFont val="Segoe UI"/>
            <family val="2"/>
          </rPr>
          <t>SIEMACO/PR,</t>
        </r>
        <r>
          <rPr>
            <sz val="9"/>
            <color indexed="81"/>
            <rFont val="Segoe UI"/>
            <charset val="1"/>
          </rPr>
          <t xml:space="preserve"> devido as licitantes históricamente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I23" authorId="0" shapeId="0" xr:uid="{ED65B9F0-76D8-482F-8C4A-2199A85CD6A8}">
      <text>
        <r>
          <rPr>
            <sz val="9"/>
            <color indexed="81"/>
            <rFont val="Segoe UI"/>
            <charset val="1"/>
          </rPr>
          <t>Salário base sobre a jornada a ser executada, normalmente 200 horas/mês (recepcionista) e 150 horas/mês (telefonista) 
Fórmula = (salário integral (1.516,66) / horas integral (220 horas)) * jornada contratada (200 horas)</t>
        </r>
      </text>
    </comment>
    <comment ref="I24" authorId="0" shapeId="0" xr:uid="{E69FE524-C9B3-45EE-89E3-BB76B8D9BEC8}">
      <text>
        <r>
          <rPr>
            <sz val="9"/>
            <color indexed="81"/>
            <rFont val="Segoe UI"/>
            <charset val="1"/>
          </rPr>
          <t>Periculosidade, com base nos laudos de local.</t>
        </r>
      </text>
    </comment>
    <comment ref="I28" authorId="0" shapeId="0" xr:uid="{26F71623-E7F1-41BD-A908-7D3270F61FFA}">
      <text>
        <r>
          <rPr>
            <sz val="9"/>
            <color indexed="81"/>
            <rFont val="Segoe UI"/>
            <charset val="1"/>
          </rPr>
          <t xml:space="preserve">Valor da hora extra baseada na jornada a ser executada, adicionada de periculosidade (quando for o caso) e 50% do valor da hora convencional. </t>
        </r>
        <r>
          <rPr>
            <b/>
            <i/>
            <u/>
            <sz val="9"/>
            <color indexed="81"/>
            <rFont val="Segoe UI"/>
            <family val="2"/>
          </rPr>
          <t>Este adicional somente será pago quando da real ocorrência, caso contrário será glosado juntamente com os índices que a ele se somam.</t>
        </r>
      </text>
    </comment>
    <comment ref="I35" authorId="0" shapeId="0" xr:uid="{2A990E35-DC10-41B5-82E3-77FD59D599AF}">
      <text>
        <r>
          <rPr>
            <sz val="9"/>
            <color indexed="81"/>
            <rFont val="Segoe UI"/>
            <charset val="1"/>
          </rPr>
          <t xml:space="preserve">Remuneração do SUBSTITUTO na cobertura de férias, atua como provisão, assim caso não seja prorogado o contrato será utilizada como remuneração de férias do TITULAR, pois, ao não prorrogar o contrato no seu 12º mês as férias do TITULAR derá ser indenizada e arcada com esta provisão.
Em havendo prorrogação este item custeará o salário do SUBSTITUTO quando das férias do TITULAR, cada posto no prazo de doze meses somará o valor de  01 mês para este fim e a remuneração do TITULAR já estará presente na planilha no módulo 01 de forma regular. </t>
        </r>
      </text>
    </comment>
    <comment ref="I36" authorId="0" shapeId="0" xr:uid="{7D3FCCC9-441B-4A90-9117-25AA2156862A}">
      <text>
        <r>
          <rPr>
            <sz val="9"/>
            <color indexed="81"/>
            <rFont val="Segoe UI"/>
            <charset val="1"/>
          </rPr>
          <t>Este item somente ocorre a partir do 3º ANO com o provisionamento para o 4º, onde o cálculo é 11 postos para 1 SUBSTITUTO DE FÉRIAS.</t>
        </r>
      </text>
    </comment>
    <comment ref="I37" authorId="0" shapeId="0" xr:uid="{0ED02623-57A6-4028-9CB2-D5F4D18298DA}">
      <text>
        <r>
          <rPr>
            <sz val="9"/>
            <color indexed="81"/>
            <rFont val="Segoe UI"/>
            <charset val="1"/>
          </rPr>
          <t>Este item se referem a provisão para realização após a ocorrência de cobertura de férias que será realizada no 3º ano do contrato, assim, começará a ser provisionada no 2º ano de contrato, portanto será tratado na memória de cálculo referente aos demais anos.</t>
        </r>
      </text>
    </comment>
    <comment ref="I38" authorId="0" shapeId="0" xr:uid="{EBAD30C4-DB4E-4D0E-8143-D774DC92EE5E}">
      <text>
        <r>
          <rPr>
            <sz val="9"/>
            <color indexed="81"/>
            <rFont val="Segoe UI"/>
            <charset val="1"/>
          </rPr>
          <t>Este item se referem a provisão para realização após a ocorrência de cobertura de férias que será realizada no 3º ano do contrato, assim, começará a ser provisionada no 2º ano de contrato, portanto será tratado na memória de cálculo referente aos demais anos.</t>
        </r>
      </text>
    </comment>
    <comment ref="I39" authorId="0" shapeId="0" xr:uid="{6406E257-F490-45A3-8691-1A1B9E9661C0}">
      <text>
        <r>
          <rPr>
            <sz val="9"/>
            <color indexed="81"/>
            <rFont val="Segoe UI"/>
            <charset val="1"/>
          </rPr>
          <t>Este item se referem a provisão para realização após a ocorrência de cobertura de férias que será realizada no 3º ano do contrato, assim, começará a ser provisionada no 2º ano de contrato, portanto será tratado na memória de cálculo referente aos demais anos.</t>
        </r>
      </text>
    </comment>
    <comment ref="H48" authorId="1" shapeId="0" xr:uid="{978809FC-AB9C-44AE-82F5-5D3FFDC60268}">
      <text>
        <r>
          <rPr>
            <b/>
            <sz val="10"/>
            <color rgb="FF000000"/>
            <rFont val="Times New Roman"/>
            <family val="1"/>
          </rPr>
          <t>Dado a ser preenchido na ABA de DADOS</t>
        </r>
        <r>
          <rPr>
            <sz val="10"/>
            <color rgb="FF000000"/>
            <rFont val="Times New Roman"/>
            <family val="1"/>
          </rPr>
          <t xml:space="preserve">
RAT x FAP máximo = 3% x 2 = 6% </t>
        </r>
        <r>
          <rPr>
            <sz val="10"/>
            <color rgb="FF000000"/>
            <rFont val="Times New Roman"/>
            <family val="1"/>
          </rPr>
          <t xml:space="preserve">
Fator Acidentário (FAP) vária entre 0,5 a 2 pontos.</t>
        </r>
        <r>
          <rPr>
            <sz val="10"/>
            <color rgb="FF000000"/>
            <rFont val="Times New Roman"/>
            <family val="1"/>
          </rPr>
          <t xml:space="preserve">
Risco de Acidente de Trabalho (RAT) vária entre 1% e 3%.</t>
        </r>
        <r>
          <rPr>
            <sz val="10"/>
            <color rgb="FF000000"/>
            <rFont val="Times New Roman"/>
            <family val="1"/>
          </rPr>
          <t xml:space="preserve">
* A empresa deverá enviar o FAP WEB para comprovação. </t>
        </r>
        <r>
          <rPr>
            <sz val="10"/>
            <color rgb="FF000000"/>
            <rFont val="Times New Roman"/>
            <family val="1"/>
          </rPr>
          <t xml:space="preserve">
Foi utilizado o SAT de 3% porém a licitante deverá aplicar a alíquota conforme seu efetivo recolhimento.</t>
        </r>
      </text>
    </comment>
    <comment ref="B57" authorId="0" shapeId="0" xr:uid="{B012B5B7-3C9C-4E5B-82A5-11F45CC7B337}">
      <text>
        <r>
          <rPr>
            <sz val="9"/>
            <color indexed="81"/>
            <rFont val="Segoe UI"/>
            <charset val="1"/>
          </rPr>
          <t xml:space="preserve">“Art. 10. O valor da parcela a ser suportada pelo beneficiário será descontada proporcionalmente à quantidade de Vale-Transporte concedida para o período a que se refere o salário ou vencimento e por ocasião de seu pagamento, salvo estipulação em contrário, em convenção ou acordo coletivo de trabalho, que favoreça o beneficiário. ” Desconto: quando não previsto na CCT será de 6%. Valor do desconto: calculado a partir da incidência de 6% sobre a parcela do salário base aplicado à proporcionalidade do mês afetada.
Exemplo: Base de Cálculo x Proporcionalidade x Desconto = Valor do desconto
Os valores unitários e a quantidade por posto são mensurados pela licitante com baase em suas estatísticas e conhecimento dos meios de transportes em cada local. A execução de valores referente a vale transporte no decorrer do contratato não se dá de forma exata, bem como se trata de um repasse para custear o auxílio transporte de todos os postos do contrato, ou seja, se para um posto são utilizados 4 vales transportes e outro não é, se em um posto há necessidade de integração com a região metropolitana e não se utilizará o valor do VT estipulado para a cidade local.
Portanto, a licitante calcula aproximadamente este impacto, seja na quantidade ou no valor unitário.
</t>
        </r>
        <r>
          <rPr>
            <b/>
            <i/>
            <u/>
            <sz val="9"/>
            <color indexed="81"/>
            <rFont val="Segoe UI"/>
            <family val="2"/>
          </rPr>
          <t>Porém, os valores não utilizados serão glosados mensalmente.</t>
        </r>
        <r>
          <rPr>
            <sz val="9"/>
            <color indexed="81"/>
            <rFont val="Segoe UI"/>
            <charset val="1"/>
          </rPr>
          <t xml:space="preserve">
Por tais considerações, será calculado o custo mensal com VT de todo o contrato para todos os postos, a Contratada deverá comprovar os custos conforme legislação vigente, não ultrapassando o valor total previsto para repasse mensal para este fim, assim, se a licitante vencedora estimar um custo de R$1.000,00 para este fim e comprovar menos, já calculado parte do do empregado de 6%, a Contratada deverá devolver o valor não utilizado segundo a previsão. este valor não é exatamente o alocado no Item "A" do SUBMÓDULO 2.3, mas sim esse valor acrescido de e todas as incidência que ocorre sobre esta rúbrica nesta planilha.</t>
        </r>
      </text>
    </comment>
    <comment ref="I68" authorId="0" shapeId="0" xr:uid="{D9D20533-23A8-4AE0-AECE-69445C1D0F5C}">
      <text>
        <r>
          <rPr>
            <sz val="9"/>
            <color indexed="81"/>
            <rFont val="Segoe UI"/>
            <charset val="1"/>
          </rPr>
          <t>Alimentação do SUBSTITUTO na cobertura de férias, atua como provisão, assim caso não seja prorogado o contrato será utilizada como alimentação de férias do TITULAR, pois, ao não prorrogar o contrato no 12º mês, a alimentação de férias do TITULAR derá ser indenizada e arcada com esta provisão. 
Em havendo prorrogação este item custeará a alimentação do SUBSTITUTO quando das férias do TITULAR, cada posto no prazo de doze meses somará o valor de  01 mês para este fim e a alimentação do TITULAR já estará presente regularmente na planilha no módulo 03 "B".</t>
        </r>
      </text>
    </comment>
    <comment ref="I69" authorId="0" shapeId="0" xr:uid="{27FC45F2-0D55-432C-848B-A9555C9774F7}">
      <text>
        <r>
          <rPr>
            <sz val="9"/>
            <color indexed="81"/>
            <rFont val="Segoe UI"/>
            <charset val="1"/>
          </rPr>
          <t>Este item somente ocorre a partir do 3º ANO com o provisionamento para o 4º, onde o cálculo é 11 postos para 1 SUBSTITUTO DE FÉRIAS.</t>
        </r>
      </text>
    </comment>
    <comment ref="I70" authorId="0" shapeId="0" xr:uid="{71220E32-9761-4AFF-A143-A29B22311D56}">
      <text>
        <r>
          <rPr>
            <sz val="9"/>
            <color indexed="81"/>
            <rFont val="Segoe UI"/>
            <charset val="1"/>
          </rPr>
          <t>Este item se referem a provisão para realização após a ocorrência de cobertura de férias que será realizada no 3º ano do contrato, assim, começará a ser provisionada no 2º ano de contrato, portanto será tratado na memória de cálculo referente aos demais anos.</t>
        </r>
      </text>
    </comment>
    <comment ref="I71" authorId="0" shapeId="0" xr:uid="{3DC3BE8A-B2CE-4E09-A16D-3464B5F5D0DC}">
      <text>
        <r>
          <rPr>
            <sz val="9"/>
            <color indexed="81"/>
            <rFont val="Segoe UI"/>
            <charset val="1"/>
          </rPr>
          <t xml:space="preserve">Este item se refere a valores realizados para o SUBSTITUTO durante a cobertura de férias, não sendo utilizado em nenhuma hipótese para o TITULAR, portanto, será executado pelo nº de postos mês a mês, não havendo necessidade de provisão e nem devoolução por não prorrogação, somente será glosado em caso de não ocorrência.
Portanto, a execução será considerada a partir do 2º ano. </t>
        </r>
        <r>
          <rPr>
            <b/>
            <i/>
            <u/>
            <sz val="9"/>
            <color indexed="81"/>
            <rFont val="Segoe UI"/>
            <family val="2"/>
          </rPr>
          <t>Esta regra se aplica aos itens "H", "I" e "J".</t>
        </r>
      </text>
    </comment>
    <comment ref="H83" authorId="1" shapeId="0" xr:uid="{CC874D6A-5DC5-4D16-A636-8C34C04A4E9C}">
      <text>
        <r>
          <rPr>
            <b/>
            <sz val="10"/>
            <color rgb="FF000000"/>
            <rFont val="Times New Roman"/>
            <family val="1"/>
          </rPr>
          <t xml:space="preserve">AVISO PRÉVIO INDENIZADO:
Acórdão 1904/07 TCU Plenário e Acórdão de Relação 522/2019 - TCU Plenário:
</t>
        </r>
        <r>
          <rPr>
            <sz val="10"/>
            <color rgb="FF000000"/>
            <rFont val="Times New Roman"/>
            <family val="1"/>
          </rPr>
          <t>O item ‘Aviso-Prévio Indenizado’ (inciso XXI do art. 7º da Constituição Federal e art. 487 da CLT), parece se confundir com o item ‘Aviso Prévio Trabalhado’, mas nesse o empregado não trabalha por mais 30 dias e é instantaneamente desvinculado do empregador. Assim, o funcionário tem direito a receber uma indenização e a contratada tem de arcar com esse ônus. O Dnit estimou tal valor em 1,64%, sendo que o ideal é 0,46%. Este percentual é oriundo de:
[100% x (1 / 12) x 5,55%] = 0,46%
Onde:
100% = salário integral
1 = um mês não trabalhado
12 = número de meses do ano
5,55% = percentual de empregados demitidos que não trabalham durante o aviso prévio, de acordo com estudo do STF (fls. 187/199 - volume IV)
-----------------------------------
Se aplicar a fómula acima, substituindo o percentual de 5,55% pesquisado pelo STF</t>
        </r>
        <r>
          <rPr>
            <b/>
            <sz val="10"/>
            <color rgb="FF000000"/>
            <rFont val="Times New Roman"/>
            <family val="1"/>
          </rPr>
          <t xml:space="preserve"> por 33,71% calculado pelo Caderno Técnico de Limpeza para o Paraná da SEGES </t>
        </r>
        <r>
          <rPr>
            <sz val="10"/>
            <color rgb="FF000000"/>
            <rFont val="Times New Roman"/>
            <family val="1"/>
          </rPr>
          <t>teremos o percentual de</t>
        </r>
        <r>
          <rPr>
            <b/>
            <sz val="10"/>
            <color rgb="FF000000"/>
            <rFont val="Times New Roman"/>
            <family val="1"/>
          </rPr>
          <t xml:space="preserve"> </t>
        </r>
        <r>
          <rPr>
            <b/>
            <u/>
            <sz val="10"/>
            <color rgb="FF000000"/>
            <rFont val="Times New Roman"/>
            <family val="1"/>
          </rPr>
          <t>2,81% aplicado sobre remuneração integral mais férias e 13º salário.</t>
        </r>
        <r>
          <rPr>
            <sz val="10"/>
            <color rgb="FF000000"/>
            <rFont val="Times New Roman"/>
            <family val="1"/>
          </rPr>
          <t xml:space="preserve"> Esta estatística de </t>
        </r>
        <r>
          <rPr>
            <b/>
            <sz val="10"/>
            <color rgb="FF000000"/>
            <rFont val="Times New Roman"/>
            <family val="1"/>
          </rPr>
          <t xml:space="preserve">33,71% poderá ser alterada </t>
        </r>
        <r>
          <rPr>
            <sz val="10"/>
            <color rgb="FF000000"/>
            <rFont val="Times New Roman"/>
            <family val="1"/>
          </rPr>
          <t xml:space="preserve">pela Licitante.
</t>
        </r>
        <r>
          <rPr>
            <b/>
            <i/>
            <u/>
            <sz val="10"/>
            <color rgb="FF000000"/>
            <rFont val="Times New Roman"/>
            <family val="1"/>
          </rPr>
          <t>***Na Prorrogação será readequado para 0,281% que equivale a 3 dias a mais que os 30 dias, conforme prevê a CLT.</t>
        </r>
      </text>
    </comment>
    <comment ref="H85" authorId="1" shapeId="0" xr:uid="{CDF8D970-A6E6-4EFC-A71C-F757B14CF45D}">
      <text>
        <r>
          <rPr>
            <b/>
            <sz val="10"/>
            <color rgb="FF000000"/>
            <rFont val="Times New Roman"/>
            <family val="1"/>
          </rPr>
          <t>MULTA DO FGTS SOBRE AVISO PRÉVIO INDENIZADO
C</t>
        </r>
        <r>
          <rPr>
            <sz val="10"/>
            <color rgb="FF000000"/>
            <rFont val="Times New Roman"/>
            <family val="1"/>
          </rPr>
          <t xml:space="preserve">om a entrada em vigor da Lei nº 13.932, de 11 de dezembro de 2019, a partir de 1º de janeiro de 2020, fica extinto os 10% de contribuição social sobre o FGTS, o valor mensal a ser provisionado, passa a ser </t>
        </r>
        <r>
          <rPr>
            <b/>
            <sz val="10"/>
            <color rgb="FF000000"/>
            <rFont val="Times New Roman"/>
            <family val="1"/>
          </rPr>
          <t>apenas de 40% sobre o valor depositado em FGTS</t>
        </r>
        <r>
          <rPr>
            <sz val="10"/>
            <color rgb="FF000000"/>
            <rFont val="Times New Roman"/>
            <family val="1"/>
          </rPr>
          <t>.</t>
        </r>
        <r>
          <rPr>
            <b/>
            <sz val="10"/>
            <color rgb="FF000000"/>
            <rFont val="Times New Roman"/>
            <family val="1"/>
          </rPr>
          <t xml:space="preserve">
Considerando que 33,71% </t>
        </r>
        <r>
          <rPr>
            <b/>
            <u/>
            <sz val="10"/>
            <color rgb="FF000000"/>
            <rFont val="Times New Roman"/>
            <family val="1"/>
          </rPr>
          <t>NÃO</t>
        </r>
        <r>
          <rPr>
            <b/>
            <sz val="10"/>
            <color rgb="FF000000"/>
            <rFont val="Times New Roman"/>
            <family val="1"/>
          </rPr>
          <t xml:space="preserve"> cumprem aviso prévio </t>
        </r>
        <r>
          <rPr>
            <sz val="10"/>
            <color rgb="FF000000"/>
            <rFont val="Times New Roman"/>
            <family val="1"/>
          </rPr>
          <t>(variável)= dado estatítico do caderno técnico de vigilância para o Paraná - e que a multa é dividida pora todos os postos contratados independente da forma de demissão, deve se multiplicar ao final pelos 33,71% para este quesito, o mesmo se dará com a estatística para aviso trabalhado.</t>
        </r>
        <r>
          <rPr>
            <b/>
            <sz val="10"/>
            <color rgb="FF000000"/>
            <rFont val="Times New Roman"/>
            <family val="1"/>
          </rPr>
          <t xml:space="preserve">
</t>
        </r>
        <r>
          <rPr>
            <sz val="10"/>
            <color rgb="FF000000"/>
            <rFont val="Times New Roman"/>
            <family val="1"/>
          </rPr>
          <t>Assim temos 8% FGTS * 40% MULTA FGTS*%DEMITIDOS QUE NÃO CUMPREM AVISO PRÉVIO =</t>
        </r>
        <r>
          <rPr>
            <b/>
            <sz val="10"/>
            <color rgb="FF000000"/>
            <rFont val="Times New Roman"/>
            <family val="1"/>
          </rPr>
          <t xml:space="preserve"> </t>
        </r>
        <r>
          <rPr>
            <b/>
            <i/>
            <u/>
            <sz val="10"/>
            <color rgb="FF000000"/>
            <rFont val="Times New Roman"/>
            <family val="1"/>
          </rPr>
          <t>8%*40%=3,20%*33,71%=1,08% ** A BASE A QUAL SERÁ APLICADA ESTE ÍNDICE É A MESMA DO MÓDULO 2.2</t>
        </r>
        <r>
          <rPr>
            <b/>
            <sz val="10"/>
            <color rgb="FF000000"/>
            <rFont val="Times New Roman"/>
            <family val="1"/>
          </rPr>
          <t xml:space="preserve">
</t>
        </r>
        <r>
          <rPr>
            <b/>
            <i/>
            <u/>
            <sz val="10"/>
            <color rgb="FF000000"/>
            <rFont val="Times New Roman"/>
            <family val="1"/>
          </rPr>
          <t>***NÃO CONFUNDIR ESTE VALOR COM A RETENÇÃO PARA CONTA VINCULADA, POIS O VALOR PARA CONTA VINCULADA É DE 4%, PORÉM É UMA GARANTIA QUE SERÁ UTILIZADA PELA CONTRATADA NO DECORRER DO CONTRATO E DEVOLVIDO O QUE SOBRAR À CONTRATADA.***
***O CUSTO FINANCEIRO DESTE PROCEDIMENTO DEVE SER ALOCADO  NO ITEM "Custos Indiretos" NO MÓDULO 6.***</t>
        </r>
      </text>
    </comment>
    <comment ref="H86" authorId="2" shapeId="0" xr:uid="{F45E3481-3B03-4697-B532-5F255379AB95}">
      <text>
        <r>
          <rPr>
            <b/>
            <sz val="10"/>
            <color rgb="FF000000"/>
            <rFont val="Times New Roman"/>
            <family val="1"/>
          </rPr>
          <t xml:space="preserve">AVISO PRÉVIO TRABALHADO conforme Acórdão 1904/07 TCU Plenário e Acórdão de Relação 522/2019 - TCU Plenário:
1° ano de contrato (cheio): (((7/30)/12)*100 = 1,944% ao mês - </t>
        </r>
        <r>
          <rPr>
            <sz val="10"/>
            <color rgb="FF000000"/>
            <rFont val="Times New Roman"/>
            <family val="1"/>
          </rPr>
          <t xml:space="preserve">7 dias em 30 rateado em 12 meses multiplicado pela estatística cheia, nesse caso, 100%.  Aplicado sobre Remuneração + Férias + 13° salário. </t>
        </r>
        <r>
          <rPr>
            <b/>
            <i/>
            <u/>
            <sz val="10"/>
            <color rgb="FF000000"/>
            <rFont val="Times New Roman"/>
            <family val="1"/>
          </rPr>
          <t>Na Prorrogação será readequado para 0,1944% que equivale a 3 dias a mais que os 30 dias, conforme prevê a CLT.</t>
        </r>
      </text>
    </comment>
    <comment ref="H87" authorId="3" shapeId="0" xr:uid="{5644B400-2E1D-48AC-B8AB-A07018177A67}">
      <text>
        <r>
          <rPr>
            <b/>
            <sz val="9"/>
            <color rgb="FF000000"/>
            <rFont val="Segoe UI"/>
            <family val="2"/>
          </rPr>
          <t xml:space="preserve">Total dos encargos do Submódulo 2.2 x Aviso Prévio Trabalhado Cheio </t>
        </r>
      </text>
    </comment>
    <comment ref="H88" authorId="1" shapeId="0" xr:uid="{4245DE43-49D5-4CB9-B722-232C15E956BA}">
      <text>
        <r>
          <rPr>
            <b/>
            <sz val="10"/>
            <color rgb="FF000000"/>
            <rFont val="Times New Roman"/>
            <family val="1"/>
          </rPr>
          <t xml:space="preserve">MULTA DO FGTS  SOBRE O AVISO PRÉVIO TRABALHADO
</t>
        </r>
        <r>
          <rPr>
            <sz val="10"/>
            <color rgb="FF000000"/>
            <rFont val="Times New Roman"/>
            <family val="1"/>
          </rPr>
          <t xml:space="preserve">Com a entrada em vigor da Lei nº 13.932, de 11 de dezembro de 2019, a partir de 1º de janeiro de 2020, fica extinto os 10% de contribuição social sobre o FGTS, o valor mensal a ser provisionado, passa a ser </t>
        </r>
        <r>
          <rPr>
            <b/>
            <sz val="10"/>
            <color rgb="FF000000"/>
            <rFont val="Times New Roman"/>
            <family val="1"/>
          </rPr>
          <t>apenas de 40% sobre o valor depositado em FGTS</t>
        </r>
        <r>
          <rPr>
            <sz val="10"/>
            <color rgb="FF000000"/>
            <rFont val="Times New Roman"/>
            <family val="1"/>
          </rPr>
          <t xml:space="preserve">.
</t>
        </r>
        <r>
          <rPr>
            <b/>
            <sz val="10"/>
            <color rgb="FF000000"/>
            <rFont val="Times New Roman"/>
            <family val="1"/>
          </rPr>
          <t xml:space="preserve">Considerando que 33,71%  </t>
        </r>
        <r>
          <rPr>
            <b/>
            <u/>
            <sz val="10"/>
            <color rgb="FF000000"/>
            <rFont val="Times New Roman"/>
            <family val="1"/>
          </rPr>
          <t>CUMPREM</t>
        </r>
        <r>
          <rPr>
            <b/>
            <sz val="10"/>
            <color rgb="FF000000"/>
            <rFont val="Times New Roman"/>
            <family val="1"/>
          </rPr>
          <t xml:space="preserve"> o aviso prévio</t>
        </r>
        <r>
          <rPr>
            <sz val="10"/>
            <color rgb="FF000000"/>
            <rFont val="Times New Roman"/>
            <family val="1"/>
          </rPr>
          <t xml:space="preserve"> (variável)= dado estatítico do caderno técnico de vigilância para o Paraná - e que a multa é dividida pora todos os postos contratados independente da forma de demissão, deve se multiplicar ao final pelos 33,71% para este quesito, o mesmo se dará com a estatística para aviso trabalhado.
Assim temos 8% FGTS * 40% MULTA FGTS*%DEMITIDOS QUE CUMPREM AVISO PRÉVIO = </t>
        </r>
        <r>
          <rPr>
            <b/>
            <sz val="10"/>
            <color rgb="FF000000"/>
            <rFont val="Times New Roman"/>
            <family val="1"/>
          </rPr>
          <t xml:space="preserve"> 8%*40%=3,20%*33,71%=1,08% ** A BASE A QUAL SERÁ APLICADA ESTE ÍNDICE É A MESMA DO MÓDULO 2.2</t>
        </r>
        <r>
          <rPr>
            <sz val="10"/>
            <color rgb="FF000000"/>
            <rFont val="Times New Roman"/>
            <family val="1"/>
          </rPr>
          <t xml:space="preserve">
</t>
        </r>
        <r>
          <rPr>
            <b/>
            <sz val="10"/>
            <color rgb="FF000000"/>
            <rFont val="Times New Roman"/>
            <family val="1"/>
          </rPr>
          <t>*</t>
        </r>
        <r>
          <rPr>
            <b/>
            <i/>
            <u/>
            <sz val="10"/>
            <color rgb="FF000000"/>
            <rFont val="Times New Roman"/>
            <family val="1"/>
          </rPr>
          <t>**NÃO CONFUNDIR ESTE VALOR COM A RETENÇÃO PARA CONTA VINCULADA, POIS O VALOR PARA CONTA VINCULADA É DE 4%, PORÉM É UMA GARANTIA QUE SERÁ UTILIZADA PELA CONTRATADA NO DECORRER DO CONTRATO E DEVOLVIDO O QUE SOBRAR À CONTRATADA.***</t>
        </r>
        <r>
          <rPr>
            <b/>
            <sz val="10"/>
            <color rgb="FF000000"/>
            <rFont val="Times New Roman"/>
            <family val="1"/>
          </rPr>
          <t xml:space="preserve">
***O CUSTO FINANCEIRO DESTE PROCEDIMENTO DEVE SER ALOCADO  NO ITEM "Custos Indiretos" NO MÓDULO 6.***</t>
        </r>
      </text>
    </comment>
    <comment ref="H95" authorId="0" shapeId="0" xr:uid="{23948EB7-E655-4FC3-BE82-2198E9652A90}">
      <text>
        <r>
          <rPr>
            <b/>
            <sz val="9"/>
            <color indexed="81"/>
            <rFont val="Segoe UI"/>
            <family val="2"/>
          </rPr>
          <t>Dados Estatísticos para 12 meses de contrato, conforme Caderno Técnico Limpeza 2019 PR pág. 20, podem ser alterados pela Licitante.</t>
        </r>
      </text>
    </comment>
    <comment ref="I120" authorId="4" shapeId="0" xr:uid="{2966A0D5-FAB2-4466-819A-2A6932DD88BD}">
      <text>
        <r>
          <rPr>
            <b/>
            <sz val="9"/>
            <color rgb="FF000000"/>
            <rFont val="Segoe UI"/>
            <family val="2"/>
          </rPr>
          <t>Preencher na ABA DADOS BÁSICOS</t>
        </r>
      </text>
    </comment>
    <comment ref="I121" authorId="4" shapeId="0" xr:uid="{6F0F502C-B03A-4452-B427-2728FA98236B}">
      <text>
        <r>
          <rPr>
            <b/>
            <sz val="9"/>
            <color rgb="FF000000"/>
            <rFont val="Segoe UI"/>
            <family val="2"/>
          </rPr>
          <t>Preencher na ABA DADOS BÁSICOS</t>
        </r>
      </text>
    </comment>
    <comment ref="I122" authorId="4" shapeId="0" xr:uid="{0504B421-2F51-439A-A8B3-2D32805C8DFA}">
      <text>
        <r>
          <rPr>
            <b/>
            <sz val="9"/>
            <color rgb="FF000000"/>
            <rFont val="Segoe UI"/>
            <family val="2"/>
          </rPr>
          <t>Valor referente ao uniforme dos terceirizados que irão cobrir as ausências legais, como não há como fornecer parte de um uniforme adotou-se, para este quesito, multiplicar a previsão de dias de ausências legais, que são dias úteis,  de cada posto pelo total de postos, alcançando assim o nº de dias uteis a serem substituidos no ano, após se divide esta quantidade pelo nº de dias úteis previstos para 12 meses, apresentado no caderno técnico de limpeza 2019 - ME como 69,86% dos dias do ano, arredondado para cima a qtd de terceirizado ferista, assim, por exemplo 1,8 terceirizados para cobrir ausências legais, para fins de uniforme é considerado 2 terceirizados. 
Forma de cálculo : Q = quantidade de funcionários para a cobertura de ausências legais em número inteiro.
Q = (ARREDONDAR.PARA.CIMA(((H107*H11)/(365*0,6986));0)
H107 = Nº DE DIAS DE AUSÊNCIA DE CADA POSTO = 8,5166
H11 = Nº DE POSTOS
H107 * H11 = 46*8,5166 = 392 DIAS (A SEREM SUBSTITUIDOS POR AUSÊNCIAS LEGAIS EM CURITIBA DURANTE 12 MESES DE EXECUÇÃO)
365*69,86% = 255 DIAS ÚTEIS NO ANO
Q= 392/255=1,54 - será necessário 1 1/2 terceirizado para cobrir a estimativa de ausências em 12 meses.
Para cálculo de uniforme de feristas será considerado 2 cj de uniformes.
percentual do custo do uniforme para cada posto, levando-se em conta que este custo deve ser dividido por todos os postos = 2/46 = 0,4347826 =4,35%
cálculo do valor para uniforme dos feristas = vlr do uniforme X percentual = 63,52 * 4,35% = 2,76</t>
        </r>
      </text>
    </comment>
    <comment ref="H123" authorId="0" shapeId="0" xr:uid="{749288F4-0339-4A74-9DAF-AF67E85DD4D8}">
      <text>
        <r>
          <rPr>
            <b/>
            <sz val="9"/>
            <color indexed="81"/>
            <rFont val="Segoe UI"/>
            <charset val="1"/>
          </rPr>
          <t>Marcio J. Ferro:</t>
        </r>
        <r>
          <rPr>
            <sz val="9"/>
            <color indexed="81"/>
            <rFont val="Segoe UI"/>
            <charset val="1"/>
          </rPr>
          <t xml:space="preserve">
quantidade </t>
        </r>
      </text>
    </comment>
    <comment ref="I123" authorId="4" shapeId="0" xr:uid="{A2A1A9BA-1548-4D66-8A3A-77781C450A43}">
      <text>
        <r>
          <rPr>
            <b/>
            <sz val="9"/>
            <color rgb="FF000000"/>
            <rFont val="Segoe UI"/>
            <family val="2"/>
          </rPr>
          <t>Este item se refere a valores realizados para o SUBSTITUTO durante a cobertura de férias, não sendo utilizado em nenhuma hipótese para o TITULAR, portanto, será executado pelo nº de postos mês a mês, não havendo necessidade de provisão e nem devoolução por não prorrogação, somente será glosado em caso de não ocorrência. Portanto, o cálculo dele para  a execução será considerada a partir do 2º ano.</t>
        </r>
      </text>
    </comment>
    <comment ref="I124" authorId="4" shapeId="0" xr:uid="{D0179DDB-8821-40E4-95A6-F767AE275418}">
      <text>
        <r>
          <rPr>
            <b/>
            <sz val="9"/>
            <color rgb="FF000000"/>
            <rFont val="Segoe UI"/>
            <family val="2"/>
          </rPr>
          <t>Preencher na ABA DADOS BÁSICOS</t>
        </r>
        <r>
          <rPr>
            <b/>
            <sz val="9"/>
            <color rgb="FF000000"/>
            <rFont val="Segoe UI"/>
            <family val="2"/>
          </rPr>
          <t xml:space="preserve">
</t>
        </r>
      </text>
    </comment>
    <comment ref="I125" authorId="4" shapeId="0" xr:uid="{6BD8A420-F589-4453-A136-971C5F7CBC90}">
      <text>
        <r>
          <rPr>
            <b/>
            <sz val="9"/>
            <color rgb="FF000000"/>
            <rFont val="Segoe UI"/>
            <family val="2"/>
          </rPr>
          <t>Preencher na ABA DADOS BÁSICOS</t>
        </r>
        <r>
          <rPr>
            <b/>
            <sz val="9"/>
            <color rgb="FF000000"/>
            <rFont val="Segoe UI"/>
            <family val="2"/>
          </rPr>
          <t xml:space="preserve">
</t>
        </r>
      </text>
    </comment>
    <comment ref="I126" authorId="4" shapeId="0" xr:uid="{3373D178-0F8C-498A-969C-8CFECB7B0BC0}">
      <text>
        <r>
          <rPr>
            <b/>
            <sz val="9"/>
            <color rgb="FF000000"/>
            <rFont val="Segoe UI"/>
            <family val="2"/>
          </rPr>
          <t>Preencher na ABA DADOS BÁSICOS</t>
        </r>
        <r>
          <rPr>
            <b/>
            <sz val="9"/>
            <color rgb="FF000000"/>
            <rFont val="Segoe UI"/>
            <family val="2"/>
          </rPr>
          <t xml:space="preserve">
</t>
        </r>
      </text>
    </comment>
    <comment ref="I127" authorId="4" shapeId="0" xr:uid="{0B56CF57-C0FF-47F6-8F73-EE368DB2248F}">
      <text>
        <r>
          <rPr>
            <b/>
            <sz val="9"/>
            <color rgb="FF000000"/>
            <rFont val="Segoe UI"/>
            <family val="2"/>
          </rPr>
          <t>Valor referente ao equipamento dos terceirizados que irão cobrir as ausências legais, como não há como fornecer parte de um equipamento adotou-se, para este quesito, multiplicar a previsão de dias de ausências legais, que são dias úteis,  de cada posto pelo total de postos, alcançando assim o nº de dias uteis a serem substituidos no ano, após se divide esta quantidade pelo nº de dias úteis previstos para 12 meses, apresentado no caderno técnico de limpeza 2019 - ME como 69,86% dos dias do ano, arredondado para cima a qtd de terceirizado ferista, assim, por exemplo 1,8 terceirizados para cobrir ausências legais, para fins de equipamento é considerado 2 terceirizados.
Como a quantidade de equipamentos é fixa por local e seu valor advém do rateio deste valor pelo nº de terceirizados alocados no contrato, o valor referente ao ferista (terceirizados não presentes no cálculo de quantidade de postos) será um valor negativo a diminuir do todo, pois está se incluindo quantidades ao divisor.
Forma de cálculo : Q = quantidade de funcionários para a cobertura de ausências legais em número inteiro.
Q = (ARREDONDAR.PARA.CIMA(((H107*H11)/(365*0,6986));0)
H107 = Nº DE DIAS DE AUSÊNCIA DE CADA POSTO = 8,5166
H11 = Nº DE POSTOS
H107 * H11 = 46*8,5166 = 392 DIAS (A SEREM SUBSTITUIDOS POR AUSÊNCIAS LEGAIS EM CURITIBA DURANTE 12 MESES DE EXECUÇÃO)
365*69,86% = 255 DIAS ÚTEIS NO ANO
Q= 392/255=1,54 - será necessário 1 1/2 terceirizado para cobrir a estimativa de ausências em 12 meses.
Para cálculo de equipamentos de feristas será considerado 2 terceirizados.
Custo do equipamento para cada posto, levando-se em conta que este custo deve ser dividido pelo total de postos em cada local e que os feristas somam ao divisor, ou seja, como se houvessem mais 2 postos.
cálculo do valor para equipamentos dos feristas = vlr mensal do equipamento / nº de postos no local (recepcionistas; telefonistas; recepcionista feristas; telefonista ferista) - vlr do equipamento rateado entre a qtd de postos para o local) - vlr mensal do equipamento</t>
        </r>
      </text>
    </comment>
    <comment ref="I128" authorId="4" shapeId="0" xr:uid="{57A94889-5E52-4F57-A4E5-4E904707386F}">
      <text>
        <r>
          <rPr>
            <b/>
            <sz val="9"/>
            <color rgb="FF000000"/>
            <rFont val="Segoe UI"/>
            <family val="2"/>
          </rPr>
          <t>Este item se refere a valores realizados para o SUBSTITUTO durante a cobertura de férias, não sendo utilizado em nenhuma hipótese para o TITULAR, portanto, será executado pelo nº de postos mês a mês, não havendo necessidade de provisão e nem devoolução por não prorrogação, somente será glosado em caso de não ocorrência. Portanto, o cálculo dele para  a execução será considerada a partir do 2º ano.</t>
        </r>
      </text>
    </comment>
    <comment ref="B138" authorId="2" shapeId="0" xr:uid="{0FAC83E4-FFB8-4FDC-9828-9FEBA1BAF431}">
      <text>
        <r>
          <rPr>
            <sz val="10"/>
            <color rgb="FF000000"/>
            <rFont val="Times New Roman"/>
            <family val="1"/>
          </rPr>
          <t xml:space="preserve">BASE DE CÁLCULO DOS CUSTOS INDIRETOS  = (Soma dos Módulos 1, 2, 3, 4 e 5).  </t>
        </r>
        <r>
          <rPr>
            <b/>
            <sz val="10"/>
            <color rgb="FF000000"/>
            <rFont val="Times New Roman"/>
            <family val="1"/>
          </rPr>
          <t>Max 5% TCU Acórdão nº 1753/2008- Plenário</t>
        </r>
      </text>
    </comment>
    <comment ref="B139" authorId="2" shapeId="0" xr:uid="{ABA95A5E-413E-4A52-9CFE-DB612EE8D3C7}">
      <text>
        <r>
          <rPr>
            <sz val="10"/>
            <color rgb="FF000000"/>
            <rFont val="Times New Roman"/>
            <family val="1"/>
          </rPr>
          <t xml:space="preserve">BASE DE CÁLCULO DO LUCRO = (Soma dos Módulos 1, 2, 3, 4 e 5) + Custos Indiretos.  </t>
        </r>
        <r>
          <rPr>
            <b/>
            <sz val="10"/>
            <color rgb="FF000000"/>
            <rFont val="Times New Roman"/>
            <family val="1"/>
          </rPr>
          <t>Max 5% TCU Acórdão nº 1753/2008- Plenário</t>
        </r>
      </text>
    </comment>
    <comment ref="H140" authorId="1" shapeId="0" xr:uid="{9F2D1B40-6DD6-4DAD-8369-B7A1C567616D}">
      <text>
        <r>
          <rPr>
            <sz val="10"/>
            <color rgb="FF000000"/>
            <rFont val="Times New Roman"/>
            <family val="1"/>
          </rPr>
          <t>Os tributos são calculados sobre o FATURAMENTO. 
Somam-se os tributos (por ex.: PIS, COFINS e ISS = 8,65) subtrai-se de 100 obtendo-se 9,135/100 = 0,9135, que representa os tributos a serem pagos sem que o faturamento seja alterado. Trata-se de fórmula circular denominada "</t>
        </r>
        <r>
          <rPr>
            <b/>
            <sz val="10"/>
            <color rgb="FF000000"/>
            <rFont val="Times New Roman"/>
            <family val="1"/>
          </rPr>
          <t>CÁLCULO POR DENTRO</t>
        </r>
        <r>
          <rPr>
            <sz val="10"/>
            <color rgb="FF000000"/>
            <rFont val="Times New Roman"/>
            <family val="1"/>
          </rPr>
          <t xml:space="preserve">" 
</t>
        </r>
        <r>
          <rPr>
            <b/>
            <sz val="10"/>
            <color rgb="FF000000"/>
            <rFont val="Times New Roman"/>
            <family val="1"/>
          </rPr>
          <t>FÓRMULA:</t>
        </r>
        <r>
          <rPr>
            <sz val="10"/>
            <color rgb="FF000000"/>
            <rFont val="Times New Roman"/>
            <family val="1"/>
          </rPr>
          <t xml:space="preserve"> 100-8,65/100 = 0,935 - </t>
        </r>
        <r>
          <rPr>
            <b/>
            <sz val="10"/>
            <color rgb="FF000000"/>
            <rFont val="Times New Roman"/>
            <family val="1"/>
          </rPr>
          <t>0,935 / FATURAMENTO =</t>
        </r>
        <r>
          <rPr>
            <sz val="10"/>
            <color rgb="FF000000"/>
            <rFont val="Times New Roman"/>
            <family val="1"/>
          </rPr>
          <t xml:space="preserve"> VALOR SOBRE O QUAL SERÁ CALCULADO O PIS, A COFINS E O ISS</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Marcio J. Ferro</author>
  </authors>
  <commentList>
    <comment ref="A4" authorId="0" shapeId="0" xr:uid="{648178FD-840F-4D72-A42E-A00F1DAC59BA}">
      <text>
        <r>
          <rPr>
            <b/>
            <sz val="9"/>
            <color indexed="81"/>
            <rFont val="Segoe UI"/>
            <charset val="1"/>
          </rPr>
          <t>Marcio J. Ferro:</t>
        </r>
        <r>
          <rPr>
            <sz val="9"/>
            <color indexed="81"/>
            <rFont val="Segoe UI"/>
            <charset val="1"/>
          </rPr>
          <t xml:space="preserve">
DATA DA PROPOSTA, TRAZ AUTOMATICAMENTE A DATA DO DIA, CASO QUEIRA ALTERAR É SÓ DIGITAR A DATA PRETENDIDA.</t>
        </r>
      </text>
    </comment>
    <comment ref="A7" authorId="0" shapeId="0" xr:uid="{004BC8D8-441D-4484-B522-C51D95E11BB5}">
      <text>
        <r>
          <rPr>
            <b/>
            <sz val="9"/>
            <color indexed="81"/>
            <rFont val="Segoe UI"/>
            <family val="2"/>
          </rPr>
          <t>Marcio J. Ferro:</t>
        </r>
        <r>
          <rPr>
            <sz val="9"/>
            <color indexed="81"/>
            <rFont val="Segoe UI"/>
            <family val="2"/>
          </rPr>
          <t xml:space="preserve">
LOCAL DE PRESTAÇÃO DOS SERVIÇOS</t>
        </r>
      </text>
    </comment>
    <comment ref="B7" authorId="0" shapeId="0" xr:uid="{0A9EB040-4AF3-48EB-AC28-524D7A08BA19}">
      <text>
        <r>
          <rPr>
            <b/>
            <sz val="9"/>
            <color indexed="81"/>
            <rFont val="Segoe UI"/>
            <family val="2"/>
          </rPr>
          <t>Marcio J. Ferro:</t>
        </r>
        <r>
          <rPr>
            <sz val="9"/>
            <color indexed="81"/>
            <rFont val="Segoe UI"/>
            <family val="2"/>
          </rPr>
          <t xml:space="preserve">
QUANTIDADE DE POSTOS PREVISTOS PARA CADA LOCAL.</t>
        </r>
      </text>
    </comment>
    <comment ref="C7" authorId="0" shapeId="0" xr:uid="{3ED57D00-BC21-40BB-8E7C-C1CEDC16B5D4}">
      <text>
        <r>
          <rPr>
            <b/>
            <sz val="9"/>
            <color indexed="81"/>
            <rFont val="Segoe UI"/>
            <family val="2"/>
          </rPr>
          <t>Marcio J. Ferro:</t>
        </r>
        <r>
          <rPr>
            <sz val="9"/>
            <color indexed="81"/>
            <rFont val="Segoe UI"/>
            <family val="2"/>
          </rPr>
          <t xml:space="preserve">
POSTO DE TRABALHO</t>
        </r>
      </text>
    </comment>
    <comment ref="D7" authorId="0" shapeId="0" xr:uid="{CE7340E0-3BC1-423C-A7C4-44359E13D5A2}">
      <text>
        <r>
          <rPr>
            <b/>
            <sz val="9"/>
            <color indexed="81"/>
            <rFont val="Segoe UI"/>
            <family val="2"/>
          </rPr>
          <t>Marcio J. Ferro:</t>
        </r>
        <r>
          <rPr>
            <sz val="9"/>
            <color indexed="81"/>
            <rFont val="Segoe UI"/>
            <family val="2"/>
          </rPr>
          <t xml:space="preserve">
DADOS DA CONVENÇÃO COLETIVA OU ACORDO COLETIVO.</t>
        </r>
      </text>
    </comment>
    <comment ref="E7" authorId="0" shapeId="0" xr:uid="{C787A22F-D955-4439-B94B-E5AF24BE5194}">
      <text>
        <r>
          <rPr>
            <b/>
            <sz val="9"/>
            <color indexed="81"/>
            <rFont val="Segoe UI"/>
            <family val="2"/>
          </rPr>
          <t>Marcio J. Ferro:</t>
        </r>
        <r>
          <rPr>
            <sz val="9"/>
            <color indexed="81"/>
            <rFont val="Segoe UI"/>
            <family val="2"/>
          </rPr>
          <t xml:space="preserve">
DATA BASE DA CONVENÇÃO COLETIVA.</t>
        </r>
      </text>
    </comment>
    <comment ref="F7" authorId="0" shapeId="0" xr:uid="{F8753DB0-B567-4D3E-A6CF-903DB396B428}">
      <text>
        <r>
          <rPr>
            <sz val="9"/>
            <color indexed="81"/>
            <rFont val="Segoe UI"/>
            <family val="2"/>
          </rPr>
          <t>O SINDICATO UTILIZADO NA ELABORAÇÃO DA PLANILHA DE FORMAÇÃO DE CUSTOS PELA ADMINISTRAÇÃO FOI O "SIEMACO/PR", POIS, HISTORICAMENTE AS EMPRESAS QUE PRESTARAM OS SERVIÇOS OBJETO DESTA LICITAÇÃO AO LONGO DE 20 ANOS O UTILIZARAM, SENDO SEUS SALÁRIOS E BENEFÍCIOS CAPAZ DE MANTER MÃO DE OBRA QUALIFICADA JUNTO AOS CONTRATOS.</t>
        </r>
        <r>
          <rPr>
            <b/>
            <sz val="9"/>
            <color indexed="81"/>
            <rFont val="Segoe UI"/>
            <charset val="1"/>
          </rPr>
          <t xml:space="preserve">
</t>
        </r>
        <r>
          <rPr>
            <sz val="9"/>
            <color indexed="81"/>
            <rFont val="Segoe UI"/>
            <family val="2"/>
          </rPr>
          <t>PODERÁ SER UTILIZADO OUTROS SINDICATOS NA FORMAÇÃO DOS CUSTOS DESDE QUE LEGALMENTE TENHA REPRESENTIVIDADE DA CATEGORIA E ABRANGÊNCIA.</t>
        </r>
      </text>
    </comment>
    <comment ref="G7" authorId="0" shapeId="0" xr:uid="{A3B07719-60B6-49F4-A96F-27E74B9B2967}">
      <text>
        <r>
          <rPr>
            <b/>
            <sz val="9"/>
            <color indexed="81"/>
            <rFont val="Segoe UI"/>
            <family val="2"/>
          </rPr>
          <t>Marcio J. Ferro:</t>
        </r>
        <r>
          <rPr>
            <sz val="9"/>
            <color indexed="81"/>
            <rFont val="Segoe UI"/>
            <family val="2"/>
          </rPr>
          <t xml:space="preserve">
CARGA HORÁRIA MENSAL BASE DA CONVENÇÃO COLETIVA.</t>
        </r>
      </text>
    </comment>
    <comment ref="H7" authorId="0" shapeId="0" xr:uid="{32B6F70C-C236-4691-8BD0-503075C9CFA7}">
      <text>
        <r>
          <rPr>
            <b/>
            <sz val="9"/>
            <color indexed="81"/>
            <rFont val="Segoe UI"/>
            <family val="2"/>
          </rPr>
          <t>Marcio J. Ferro:</t>
        </r>
        <r>
          <rPr>
            <sz val="9"/>
            <color indexed="81"/>
            <rFont val="Segoe UI"/>
            <family val="2"/>
          </rPr>
          <t xml:space="preserve">
Salário integral conforme convenção coletiva, normalmente para jornada de 220 horas/mês (Recepcionista) e de 180 horas/mês (Telefonista).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I7" authorId="0" shapeId="0" xr:uid="{05D0A5EF-7E1D-4358-AA1F-E5602BB8A288}">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J7" authorId="0" shapeId="0" xr:uid="{6CEAC1F6-AA69-43EA-81A4-7BB7B79CACF6}">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K7" authorId="0" shapeId="0" xr:uid="{A31550F3-ECFA-45DE-BC66-BDDEFA68D09F}">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L7" authorId="0" shapeId="0" xr:uid="{0CBA8400-EB68-4F8F-B42D-5D53D42319DE}">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M7" authorId="0" shapeId="0" xr:uid="{BD29075B-54E7-44BB-8247-82124E928A27}">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N7" authorId="0" shapeId="0" xr:uid="{75C5E488-992A-4E70-A1C3-5FBDF0D5E5DA}">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Q7" authorId="0" shapeId="0" xr:uid="{C18EEFA7-8611-4878-9D28-1B1859B1D6E3}">
      <text>
        <r>
          <rPr>
            <b/>
            <sz val="9"/>
            <color indexed="81"/>
            <rFont val="Segoe UI"/>
            <family val="2"/>
          </rPr>
          <t>Marcio J. Ferro:</t>
        </r>
        <r>
          <rPr>
            <sz val="9"/>
            <color indexed="81"/>
            <rFont val="Segoe UI"/>
            <family val="2"/>
          </rPr>
          <t xml:space="preserve">
Considerando que 33,71% NÃO cumprem aviso prévio (variável)= dado estatítico do caderno técnico de limpeza para o Paraná pag. 16.
ESTE DADO ESTATÍSTICO PODE SER ALTERADO PELO LICITANTE CONFORME FOR O SEU ENTENDIMENTO.</t>
        </r>
      </text>
    </comment>
    <comment ref="R7" authorId="0" shapeId="0" xr:uid="{075096DB-7DA1-4D45-AA4A-60C0FFE684CA}">
      <text>
        <r>
          <rPr>
            <b/>
            <sz val="9"/>
            <color indexed="81"/>
            <rFont val="Segoe UI"/>
            <family val="2"/>
          </rPr>
          <t>Marcio J. Ferro:</t>
        </r>
        <r>
          <rPr>
            <sz val="9"/>
            <color indexed="81"/>
            <rFont val="Segoe UI"/>
            <family val="2"/>
          </rPr>
          <t xml:space="preserve">
Considerando que 33,71%  CUMPREM o aviso prévio (variável)= dado estatítico do caderno técnico de limpeza para o Paraná pag. 16
ESTE DADO ESTATÍSTICO PODE SER ALTERADO PELO LICITANTE CONFORME FOR O SEU ENTENDIMENTO.</t>
        </r>
      </text>
    </comment>
    <comment ref="S7" authorId="0" shapeId="0" xr:uid="{1E3D1261-6B3E-48C5-AB4C-BB12FBFBED67}">
      <text>
        <r>
          <rPr>
            <b/>
            <sz val="9"/>
            <color indexed="81"/>
            <rFont val="Segoe UI"/>
            <family val="2"/>
          </rPr>
          <t>Marcio J. Ferro:</t>
        </r>
        <r>
          <rPr>
            <sz val="9"/>
            <color indexed="81"/>
            <rFont val="Segoe UI"/>
            <family val="2"/>
          </rPr>
          <t xml:space="preserve">
BASE DE CÁLCULO DOS CUSTOS INDIRETOS  = (Soma dos Módulos 1, 2, 3, 4 e 5).  Max 5% TCU Acórdão nº 1753/2008- Plenário</t>
        </r>
      </text>
    </comment>
    <comment ref="T7" authorId="0" shapeId="0" xr:uid="{A9B10D74-5A97-46DD-AB69-6FE698D049EA}">
      <text>
        <r>
          <rPr>
            <b/>
            <sz val="9"/>
            <color indexed="81"/>
            <rFont val="Segoe UI"/>
            <family val="2"/>
          </rPr>
          <t>Marcio J. Ferro:</t>
        </r>
        <r>
          <rPr>
            <sz val="9"/>
            <color indexed="81"/>
            <rFont val="Segoe UI"/>
            <family val="2"/>
          </rPr>
          <t xml:space="preserve">
BASE DE CÁLCULO DO LUCRO = (Soma dos Módulos 1, 2, 3, 4 e 5) + Custos Indiretos.  Max 5% TCU Acórdão nº 1753/2008- Plenário</t>
        </r>
      </text>
    </comment>
    <comment ref="U7" authorId="0" shapeId="0" xr:uid="{326B3CA3-B7E6-456D-9FEC-8403F3CB4BDE}">
      <text>
        <r>
          <rPr>
            <b/>
            <sz val="9"/>
            <color indexed="81"/>
            <rFont val="Segoe UI"/>
            <family val="2"/>
          </rPr>
          <t>Marcio J. Ferro:</t>
        </r>
        <r>
          <rPr>
            <sz val="9"/>
            <color indexed="81"/>
            <rFont val="Segoe UI"/>
            <family val="2"/>
          </rPr>
          <t xml:space="preserve">
ISS CONFORME OS LOCAIS DE PRESTAÇÃO DE SERVIÇOS.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Marcio J. Ferro</author>
    <author>Rossicléia Ferreira Campos</author>
    <author>Janayra Saraiva Lopes</author>
    <author>Silvino Schlickmann Junior</author>
  </authors>
  <commentList>
    <comment ref="H17" authorId="0" shapeId="0" xr:uid="{BCDFE1F4-B88B-4DFC-92C3-386AA92112CA}">
      <text>
        <r>
          <rPr>
            <sz val="9"/>
            <color indexed="81"/>
            <rFont val="Segoe UI"/>
            <family val="2"/>
          </rPr>
          <t>IDEM MEMÓRIA DE CÁLCULO REF 1º ANO / ***ESTE VALOR SERÁ ALTERADO QUANDO HOUVER REEQUILÍBRIO POR FORÇA DE NOVA CONVENÇÃO COLETIVA DA CATEGORIA.</t>
        </r>
      </text>
    </comment>
    <comment ref="I23" authorId="0" shapeId="0" xr:uid="{D8DB4CAB-0186-4691-9EA7-CA119C89F922}">
      <text>
        <r>
          <rPr>
            <sz val="9"/>
            <color indexed="81"/>
            <rFont val="Segoe UI"/>
            <family val="2"/>
          </rPr>
          <t>IDEM MEMÓRIA DE CÁLCULO REF 1º ANO / ***ESTE VALOR SERÁ ALTERADO QUANDO HOUVER REEQUILÍBRIO POR FORÇA DE NOVA CONVENÇÃO COLETIVA DA CATEGORIA.</t>
        </r>
      </text>
    </comment>
    <comment ref="I24" authorId="0" shapeId="0" xr:uid="{838919E1-463B-48B4-87EC-73976BDC9494}">
      <text>
        <r>
          <rPr>
            <sz val="9"/>
            <color indexed="81"/>
            <rFont val="Segoe UI"/>
            <family val="2"/>
          </rPr>
          <t>I</t>
        </r>
        <r>
          <rPr>
            <b/>
            <sz val="9"/>
            <color indexed="81"/>
            <rFont val="Segoe UI"/>
            <family val="2"/>
          </rPr>
          <t>DEM MEMÓRIA DE CÁLCULO REF 1º ANO.</t>
        </r>
      </text>
    </comment>
    <comment ref="I28" authorId="0" shapeId="0" xr:uid="{BCD37360-832C-4930-918E-82484D4D3905}">
      <text>
        <r>
          <rPr>
            <sz val="9"/>
            <color indexed="81"/>
            <rFont val="Segoe UI"/>
            <family val="2"/>
          </rPr>
          <t>IDEM MEMÓRIA DE CÁLCULO REF 1º ANO / ***ESTE VALOR SERÁ ALTERADO QUANDO HOUVER REEQUILÍBRIO POR FORÇA DE NOVA CONVENÇÃO COLETIVA DA CATEGORIA.</t>
        </r>
      </text>
    </comment>
    <comment ref="H32" authorId="1" shapeId="0" xr:uid="{8B40F4A9-1A30-4AA2-A7DD-64CA9218CE73}">
      <text>
        <r>
          <rPr>
            <b/>
            <sz val="10"/>
            <color rgb="FF000000"/>
            <rFont val="Times New Roman"/>
            <family val="1"/>
          </rPr>
          <t xml:space="preserve"> </t>
        </r>
        <r>
          <rPr>
            <sz val="10"/>
            <color rgb="FF000000"/>
            <rFont val="Times New Roman"/>
            <family val="1"/>
          </rPr>
          <t>1/12meses = 0,0833=8,33%;</t>
        </r>
        <r>
          <rPr>
            <sz val="10"/>
            <color rgb="FF000000"/>
            <rFont val="Times New Roman"/>
            <family val="1"/>
          </rPr>
          <t xml:space="preserve">
Cotação de  8,33% sobre o valor do Módulo 1 - Composição da remuneração, conforme Anexo XII da IN 5/17</t>
        </r>
      </text>
    </comment>
    <comment ref="H33" authorId="2" shapeId="0" xr:uid="{02E2CAE5-AC01-4E7B-BA0B-DA0CD4B8244B}">
      <text>
        <r>
          <rPr>
            <sz val="9"/>
            <color rgb="FF000000"/>
            <rFont val="Tahoma"/>
            <family val="2"/>
          </rPr>
          <t xml:space="preserve">Cotação de Férias e Adicional de Férias do profissional titular, </t>
        </r>
        <r>
          <rPr>
            <sz val="9"/>
            <color rgb="FF000000"/>
            <rFont val="Tahoma"/>
            <family val="2"/>
          </rPr>
          <t xml:space="preserve">
conforme item 14 do ANEXO XII da IN 5/17. </t>
        </r>
        <r>
          <rPr>
            <b/>
            <i/>
            <u/>
            <sz val="9"/>
            <color rgb="FF000000"/>
            <rFont val="Tahoma"/>
            <family val="2"/>
          </rPr>
          <t xml:space="preserve">
</t>
        </r>
        <r>
          <rPr>
            <sz val="9"/>
            <color rgb="FF000000"/>
            <rFont val="Tahoma"/>
            <family val="2"/>
          </rPr>
          <t xml:space="preserve">Estamos tratando aqui das férias e 1/3 adicional de férias do empregado titular. </t>
        </r>
        <r>
          <rPr>
            <b/>
            <u/>
            <sz val="9"/>
            <color rgb="FF000000"/>
            <rFont val="Tahoma"/>
            <family val="2"/>
          </rPr>
          <t>Não confundir com a provisão do empregado substituto na cobertura de férias.</t>
        </r>
        <r>
          <rPr>
            <sz val="9"/>
            <color rgb="FF000000"/>
            <rFont val="Tahoma"/>
            <family val="2"/>
          </rPr>
          <t xml:space="preserve"> Como a alíquota de 12,1% é obtida pela soma das férias de 9,025% e do adicional de férias de 3,025%, sendo que o valor de férias ocorre somente no primeiro ano de contrato, assim, em caso de prorrogação contratual este quesito será reduzido a alíquota de 3,025%.</t>
        </r>
      </text>
    </comment>
    <comment ref="I35" authorId="0" shapeId="0" xr:uid="{8DC9138A-C28C-4EB9-8DFC-078CCB0538C3}">
      <text>
        <r>
          <rPr>
            <sz val="9"/>
            <color indexed="81"/>
            <rFont val="Segoe UI"/>
            <family val="2"/>
          </rPr>
          <t>No 4º ANO houve a provisão deste item para ser pago no 5º ANO de execução contratual, na proporção de 11 para 1, ou seja, cada 11 postos para cada substituto por 12 meses provisionando 12 salários deste substituto.
Ocorre que neste 5º ANO este valor é somente reservado à indenização de férias proporcionais ao Titular, assim 12 meses deste posto arcam com esse custo.</t>
        </r>
      </text>
    </comment>
    <comment ref="I36" authorId="0" shapeId="0" xr:uid="{9F42677C-EC13-4EA1-995D-4A95C65CCB57}">
      <text>
        <r>
          <rPr>
            <sz val="9"/>
            <color indexed="81"/>
            <rFont val="Segoe UI"/>
            <charset val="1"/>
          </rPr>
          <t>Este item já foi apropriado no 4º ANO para custear o 5º ANO, portanto não occore neste 5º ANO.</t>
        </r>
      </text>
    </comment>
    <comment ref="I37" authorId="0" shapeId="0" xr:uid="{BFB44B1C-C583-4B98-A445-CFCB74C712B8}">
      <text>
        <r>
          <rPr>
            <sz val="9"/>
            <color indexed="81"/>
            <rFont val="Segoe UI"/>
            <family val="2"/>
          </rPr>
          <t>Em tese, durante o 5º ano de execução contratual se dará o gozo das férias adquiridas durante o 4º ano do contrato.
Neste 5º ano cada SUBSTITUTO de férias cobre 11 postos de TITULARES.
Ao fim de 12 meses do 5º ano de execução do contrato, o Substituto de férias terá direito a</t>
        </r>
        <r>
          <rPr>
            <b/>
            <sz val="9"/>
            <color indexed="81"/>
            <rFont val="Segoe UI"/>
            <family val="2"/>
          </rPr>
          <t xml:space="preserve"> férias e 13º salário também, bem como 1/3 de adicional de férias</t>
        </r>
        <r>
          <rPr>
            <sz val="9"/>
            <color indexed="81"/>
            <rFont val="Segoe UI"/>
            <family val="2"/>
          </rPr>
          <t>.
Assim, cada SUBSTITUTO férias no 5º ANO cobre 11 postos, estes 11 postos contribuem 12 meses para isso.
Então: (o nº de postos / pela quantidade de postos cobertos por cada SUBSTITUTO) = quantidade de substitutos (neste caso não precisa arredondar a quantidade por ser proporcional). = 46/11= 4,18
A quantidade de substitutos / 12 meses = fração de cada substituto no mês = 4,18 / 12 = 0,35
A fração de cada substituto no mês / pelo nº de postos= o percentual que cada posto deve repassar para que a Contratada possa arcar com este custo ao final do 5º ANO =0,35/46= 0,0076087*100=0,7608%
Esta regra é aplicada à férias proporcionais e ao 13º salário, o adicional de férias é = 0,7608%/3=0,25%</t>
        </r>
      </text>
    </comment>
    <comment ref="H48" authorId="1" shapeId="0" xr:uid="{BF93496E-0727-4026-AAFD-451B233EE5A3}">
      <text>
        <r>
          <rPr>
            <sz val="10"/>
            <color rgb="FF000000"/>
            <rFont val="Times New Roman"/>
            <family val="1"/>
          </rPr>
          <t xml:space="preserve">IDEM MEMÓRIA DE CÁLCULO REF 1º ANO - </t>
        </r>
        <r>
          <rPr>
            <b/>
            <i/>
            <u/>
            <sz val="10"/>
            <color rgb="FF000000"/>
            <rFont val="Times New Roman"/>
            <family val="1"/>
          </rPr>
          <t>*** verificar se o FAP alterou em relação a época da licitação e aplicar o novo FAP, se for o caso.</t>
        </r>
      </text>
    </comment>
    <comment ref="I57" authorId="0" shapeId="0" xr:uid="{BE38FED1-2592-4F1C-930C-07975745535C}">
      <text>
        <r>
          <rPr>
            <b/>
            <sz val="9"/>
            <color rgb="FF000000"/>
            <rFont val="Segoe UI"/>
            <family val="2"/>
          </rPr>
          <t>AUXILIO TRANSPORTE:</t>
        </r>
        <r>
          <rPr>
            <sz val="9"/>
            <color rgb="FF000000"/>
            <rFont val="Segoe UI"/>
            <family val="2"/>
          </rPr>
          <t xml:space="preserve">
“Art. 10. O valor da parcela a ser suportada pelo beneficiário será descontada proporcionalmente à quantidade de Vale-Transporte concedida para o período a que se refere o salário ou vencimento e por ocasião de seu pagamento, salvo estipulação em contrário, em convenção ou acordo coletivo de trabalho, que favoreça o beneficiário. ”</t>
        </r>
        <r>
          <rPr>
            <sz val="9"/>
            <color rgb="FF000000"/>
            <rFont val="Segoe UI"/>
            <family val="2"/>
          </rPr>
          <t xml:space="preserve">
Desconto: quando não previsto na CCT será de 6%.</t>
        </r>
        <r>
          <rPr>
            <sz val="9"/>
            <color rgb="FF000000"/>
            <rFont val="Segoe UI"/>
            <family val="2"/>
          </rPr>
          <t xml:space="preserve">
Valor do desconto: calculado a partir da incidência de 6% sobre a parcela do salário base aplicado</t>
        </r>
        <r>
          <rPr>
            <sz val="9"/>
            <color rgb="FF000000"/>
            <rFont val="Segoe UI"/>
            <family val="2"/>
          </rPr>
          <t xml:space="preserve">
à proporcionalidade do mês afetada.</t>
        </r>
        <r>
          <rPr>
            <sz val="9"/>
            <color rgb="FF000000"/>
            <rFont val="Segoe UI"/>
            <family val="2"/>
          </rPr>
          <t xml:space="preserve">
Exemplo: Base de Cálculo x Proporcionalidade x Desconto = Valor do desconto</t>
        </r>
      </text>
    </comment>
    <comment ref="H58" authorId="0" shapeId="0" xr:uid="{7830D3AD-C9E2-4F1D-9EBC-BC61A5F2B907}">
      <text>
        <r>
          <rPr>
            <sz val="9"/>
            <color indexed="81"/>
            <rFont val="Segoe UI"/>
            <family val="2"/>
          </rPr>
          <t>IDEM MEMÓRIA DE CÁLCULO REF 1º ANO, pode ser alterado em caso de aumento da tarifa de transporte, porém, esta alteração se dá de forma proporcional caso a licitante não tenha utilizado o valor idêntico ao da tarifa.</t>
        </r>
      </text>
    </comment>
    <comment ref="H62" authorId="0" shapeId="0" xr:uid="{605A8693-2F06-4B5B-9867-E51264A35EEF}">
      <text>
        <r>
          <rPr>
            <sz val="9"/>
            <color indexed="81"/>
            <rFont val="Segoe UI"/>
            <family val="2"/>
          </rPr>
          <t>IDEM MEMÓRIA DE CÁLCULO REF 1º ANO, as alterações ocorrem conforme alteração da CCT da categoria, esta regra se aplica do item "B" ao "E".</t>
        </r>
      </text>
    </comment>
    <comment ref="I68" authorId="0" shapeId="0" xr:uid="{42ABECE2-DE16-4297-8FBA-20721E11FA35}">
      <text>
        <r>
          <rPr>
            <sz val="9"/>
            <color indexed="81"/>
            <rFont val="Segoe UI"/>
            <family val="2"/>
          </rPr>
          <t>No 4º ANO houve a provisão deste item para ser pago no 5º ANO de execução contratual, na proporção de 11 para 1, ou seja, cada 11 postos para cada substituto por 12 meses provisionando 12 alimentações deste substituto, ou caso não haja prorrogação contratual indenização do TITULAR.
Ocorre que neste 5º ANO este valor somente será utilizado para a indenização do TITULAR, assim 12 meses deste quesito arcam o custo.</t>
        </r>
      </text>
    </comment>
    <comment ref="I69" authorId="0" shapeId="0" xr:uid="{CA1CF06A-A7BF-43E4-A58D-6A08B3294B94}">
      <text>
        <r>
          <rPr>
            <sz val="9"/>
            <color indexed="81"/>
            <rFont val="Segoe UI"/>
            <charset val="1"/>
          </rPr>
          <t>Este item já foi provisionado no 4º ANO para realizar no 5º ANO, não sendo necessária nova provisão.</t>
        </r>
      </text>
    </comment>
    <comment ref="I70" authorId="0" shapeId="0" xr:uid="{1FA96673-C0D4-41E0-8934-143B98964612}">
      <text>
        <r>
          <rPr>
            <sz val="9"/>
            <color indexed="81"/>
            <rFont val="Segoe UI"/>
            <family val="2"/>
          </rPr>
          <t xml:space="preserve">Em tese, durante o 5º ano de execução contratual se dará o gozo das férias adquiridas durante o 4º ano do contrato. Neste 5º ano cada SUBSTITUTO de férias cobre 11 postos de TITULARES. Ao fim de 12 meses do 5º ano de execução do contrato, o </t>
        </r>
        <r>
          <rPr>
            <b/>
            <sz val="9"/>
            <color indexed="81"/>
            <rFont val="Segoe UI"/>
            <family val="2"/>
          </rPr>
          <t>Substituto de férias terá direito a Alimentação de férias</t>
        </r>
        <r>
          <rPr>
            <sz val="9"/>
            <color indexed="81"/>
            <rFont val="Segoe UI"/>
            <family val="2"/>
          </rPr>
          <t>.
Assim, cada SUBSTITUTO férias no 5º ANO cobre 11 postos, estes 11 postos contribuem 12 meses para isso.
Então: (o nº de postos / pela quantidade de postos cobertos por cada SUBSTITUTO) = quantidade de substitutos (neste caso não precisa arredondar a quantidade por ser proporcional). = 46/11=4,18
A quantidade de substitutos / 12 meses = fração de cada substituto no mês = 4,18/12= 0,35
A fração de cada substituto no mês / pelo nº de postos= o percentual que cada posto deve repassar para que a Contratada possa arcar com este custo ao final do 4º ANO =0,35/46= 0,0076087*100=0,76087%</t>
        </r>
      </text>
    </comment>
    <comment ref="I71" authorId="0" shapeId="0" xr:uid="{74BCCB2F-E552-43F1-930C-C7A58BD8A8D5}">
      <text>
        <r>
          <rPr>
            <sz val="9"/>
            <color indexed="81"/>
            <rFont val="Segoe UI"/>
            <charset val="1"/>
          </rPr>
          <t>Em tese, durante o 5º ano de execução contratual se dará o gozo das férias adquiridas durante o 4º ano do contrato. Neste 5º ano cada SUBSTITUTO de férias cobre 11 postos de TITULARES. 
Durante os meses em que o SUBSTITUTO estiver cobrindo as férias do TITULAR ele faz jus ao itens "H", "I" e "J".
Assim, cada SUBSTITUTO férias no 4º ANO cobre 11 postos, estes 11 postos contribuem mensalmente para que se realize o valor destes itens.
Então: (o nº de postos / pela quantidade de postos cobertos por cada SUBSTITUTO) = quantidade de substitutos (neste caso não precisa arredondar a quantidade por ser proporcional). = 46/11=4,18
A quantidade de substitutos /  pelo nº de postos= o percentual que cada posto deve repassar para que a Contratada possa arcar com este custo mensalmente =4,18/46= 0,0909*100=9,093%.
Esta regra se aplica aos 3 items.</t>
        </r>
      </text>
    </comment>
    <comment ref="I83" authorId="0" shapeId="0" xr:uid="{34091171-89FC-4DC7-82DE-D2B5789F92A8}">
      <text>
        <r>
          <rPr>
            <b/>
            <sz val="9"/>
            <color indexed="81"/>
            <rFont val="Segoe UI"/>
            <family val="2"/>
          </rPr>
          <t>Na Prorrogação será readequado para 0,281% que equivale a 3 dias além dos 30 dias por ano trabalhado.</t>
        </r>
      </text>
    </comment>
    <comment ref="H85" authorId="0" shapeId="0" xr:uid="{8279224E-C400-4344-AB62-3DB3FFD78237}">
      <text>
        <r>
          <rPr>
            <b/>
            <sz val="9"/>
            <color indexed="81"/>
            <rFont val="Segoe UI"/>
            <family val="2"/>
          </rPr>
          <t>IDEM MEMÓRIA DE CÁLCULO REF 1º ANO</t>
        </r>
        <r>
          <rPr>
            <sz val="9"/>
            <color indexed="81"/>
            <rFont val="Segoe UI"/>
            <family val="2"/>
          </rPr>
          <t xml:space="preserve">.
</t>
        </r>
      </text>
    </comment>
    <comment ref="H86" authorId="2" shapeId="0" xr:uid="{31308AD4-308F-4FD1-8653-57D05290FB2C}">
      <text>
        <r>
          <rPr>
            <b/>
            <sz val="10"/>
            <color rgb="FF000000"/>
            <rFont val="Times New Roman"/>
            <family val="1"/>
          </rPr>
          <t>Na Prorrogação será readequado para 0,1944% que equivale a 3 dias além dos 30 dias por ano trabalhado.</t>
        </r>
      </text>
    </comment>
    <comment ref="H88" authorId="0" shapeId="0" xr:uid="{791F9548-9EA9-4146-98AF-83581CB57FD4}">
      <text>
        <r>
          <rPr>
            <b/>
            <sz val="9"/>
            <color indexed="81"/>
            <rFont val="Segoe UI"/>
            <family val="2"/>
          </rPr>
          <t>IDEM MEMÓRIA DE CÁLCULO REF 1º ANO.</t>
        </r>
      </text>
    </comment>
    <comment ref="H95" authorId="0" shapeId="0" xr:uid="{43C7052A-D438-4021-9DD8-7FE26FA6FB85}">
      <text>
        <r>
          <rPr>
            <b/>
            <sz val="9"/>
            <color indexed="81"/>
            <rFont val="Segoe UI"/>
            <family val="2"/>
          </rPr>
          <t>IDEM MEMÓRIA DE CÁLCULO REF 1º ANO.</t>
        </r>
      </text>
    </comment>
    <comment ref="H105" authorId="3" shapeId="0" xr:uid="{4F6A89EF-2968-436A-B3DC-F2A422192197}">
      <text>
        <r>
          <rPr>
            <b/>
            <sz val="9"/>
            <color rgb="FF000000"/>
            <rFont val="Segoe UI"/>
            <family val="2"/>
          </rPr>
          <t>Dados Estatísticos Caderno Técnico Limpeza 2019 PR pág. 20</t>
        </r>
      </text>
    </comment>
    <comment ref="H106" authorId="3" shapeId="0" xr:uid="{FF7E8A94-EF18-42D5-8ED2-8AA306566511}">
      <text>
        <r>
          <rPr>
            <b/>
            <sz val="9"/>
            <color rgb="FF000000"/>
            <rFont val="Segoe UI"/>
            <family val="2"/>
          </rPr>
          <t>Dados Estatísticos Caderno Técnico Limpeza 2019 PR págima 20</t>
        </r>
      </text>
    </comment>
    <comment ref="H107" authorId="3" shapeId="0" xr:uid="{B0C16F34-0093-41EE-AD89-3D2B5C26AF95}">
      <text>
        <r>
          <rPr>
            <b/>
            <sz val="9"/>
            <color rgb="FF000000"/>
            <rFont val="Segoe UI"/>
            <family val="2"/>
          </rPr>
          <t>DDados Estatísticos Caderno Técnico Limpeza 2019 PR pág. 20</t>
        </r>
      </text>
    </comment>
    <comment ref="I120" authorId="3" shapeId="0" xr:uid="{A6CAC52C-BD6A-4315-8BE5-43E8E8109842}">
      <text>
        <r>
          <rPr>
            <sz val="9"/>
            <color rgb="FF000000"/>
            <rFont val="Segoe UI"/>
            <family val="2"/>
          </rPr>
          <t>Valor do uniforme se altera para menor devido a quantidade a partir do 2º ANO ser menor.</t>
        </r>
        <r>
          <rPr>
            <b/>
            <sz val="9"/>
            <color rgb="FF000000"/>
            <rFont val="Segoe UI"/>
            <family val="2"/>
          </rPr>
          <t xml:space="preserve"> ***O valor unitário pode alterar por correção por meio de índice previsto em contrato - IPCA</t>
        </r>
      </text>
    </comment>
    <comment ref="I121" authorId="3" shapeId="0" xr:uid="{9CB91E1F-0EBF-429D-A105-D596136CFADD}">
      <text>
        <r>
          <rPr>
            <b/>
            <sz val="9"/>
            <color rgb="FF000000"/>
            <rFont val="Segoe UI"/>
            <family val="2"/>
          </rPr>
          <t>Preencher na ABA DADOS BÁSICOS</t>
        </r>
      </text>
    </comment>
    <comment ref="I122" authorId="3" shapeId="0" xr:uid="{3999F264-85A6-4C9E-9383-BB2228D3F0E3}">
      <text>
        <r>
          <rPr>
            <b/>
            <sz val="9"/>
            <color rgb="FF000000"/>
            <rFont val="Segoe UI"/>
            <family val="2"/>
          </rPr>
          <t>IDEM MEMÓRIA DE CÁLCULO REF 1º ANO.</t>
        </r>
      </text>
    </comment>
    <comment ref="H123" authorId="0" shapeId="0" xr:uid="{FB988CD5-CFCB-4B1D-A518-1E2525598F1A}">
      <text>
        <r>
          <rPr>
            <b/>
            <sz val="9"/>
            <color indexed="81"/>
            <rFont val="Segoe UI"/>
            <charset val="1"/>
          </rPr>
          <t>Marcio J. Ferro:</t>
        </r>
        <r>
          <rPr>
            <sz val="9"/>
            <color indexed="81"/>
            <rFont val="Segoe UI"/>
            <charset val="1"/>
          </rPr>
          <t xml:space="preserve">
quantidade </t>
        </r>
      </text>
    </comment>
    <comment ref="I123" authorId="3" shapeId="0" xr:uid="{7E06A6A1-F973-43ED-AF2B-4721499674CF}">
      <text>
        <r>
          <rPr>
            <sz val="9"/>
            <color rgb="FF000000"/>
            <rFont val="Segoe UI"/>
            <family val="2"/>
          </rPr>
          <t xml:space="preserve">Em tese, durante o 5º ano de execução contratual se dará o gozo das férias adquiridas durante o 4º ano do contrato. </t>
        </r>
        <r>
          <rPr>
            <b/>
            <sz val="9"/>
            <color rgb="FF000000"/>
            <rFont val="Segoe UI"/>
            <family val="2"/>
          </rPr>
          <t>Neste 5º ano cada SUBSTITUTO de férias cobre 11 postos</t>
        </r>
        <r>
          <rPr>
            <sz val="9"/>
            <color rgb="FF000000"/>
            <rFont val="Segoe UI"/>
            <family val="2"/>
          </rPr>
          <t xml:space="preserve"> de TITULARES. 
Para o valor referente ao uniforme dos terceirizados que irão cobrir as férias adotou-se o uso de quantidades inteiras, dividindo-se o nº de postos / qtd de postos cobertos por CADA SUBSTITUTO = 46/11 = 4,18 - arredondado para cima a qtd de SUBSTITUTOS =5, assim, por exemplo 4,18 SUBSTITUTOS, para fins de uniforme é considerado 5 terceirizados. 
O percentual do custo do uniforme para cada posto, levando-se em conta que este custo deve ser dividido por todos os postos = 5/46 = 0,10869*100=</t>
        </r>
        <r>
          <rPr>
            <b/>
            <sz val="9"/>
            <color rgb="FF000000"/>
            <rFont val="Segoe UI"/>
            <family val="2"/>
          </rPr>
          <t>10,87%</t>
        </r>
      </text>
    </comment>
    <comment ref="I124" authorId="3" shapeId="0" xr:uid="{B00B2593-9601-4789-9AD0-8FBF1C52DD16}">
      <text>
        <r>
          <rPr>
            <b/>
            <sz val="9"/>
            <color rgb="FF000000"/>
            <rFont val="Segoe UI"/>
            <family val="2"/>
          </rPr>
          <t>Preencher na ABA DADOS BÁSICOS</t>
        </r>
        <r>
          <rPr>
            <b/>
            <sz val="9"/>
            <color rgb="FF000000"/>
            <rFont val="Segoe UI"/>
            <family val="2"/>
          </rPr>
          <t xml:space="preserve">
</t>
        </r>
      </text>
    </comment>
    <comment ref="I125" authorId="3" shapeId="0" xr:uid="{EC410C12-BA15-41C2-9298-DBFEEDE12885}">
      <text>
        <r>
          <rPr>
            <b/>
            <sz val="9"/>
            <color rgb="FF000000"/>
            <rFont val="Segoe UI"/>
            <family val="2"/>
          </rPr>
          <t>Preencher na ABA DADOS BÁSICOS</t>
        </r>
        <r>
          <rPr>
            <b/>
            <sz val="9"/>
            <color rgb="FF000000"/>
            <rFont val="Segoe UI"/>
            <family val="2"/>
          </rPr>
          <t xml:space="preserve">
</t>
        </r>
      </text>
    </comment>
    <comment ref="I126" authorId="3" shapeId="0" xr:uid="{6CD78FBF-CB05-428B-9C15-1E9C8E10F205}">
      <text>
        <r>
          <rPr>
            <b/>
            <sz val="9"/>
            <color rgb="FF000000"/>
            <rFont val="Segoe UI"/>
            <family val="2"/>
          </rPr>
          <t>Preencher na ABA DADOS BÁSICOS</t>
        </r>
        <r>
          <rPr>
            <b/>
            <sz val="9"/>
            <color rgb="FF000000"/>
            <rFont val="Segoe UI"/>
            <family val="2"/>
          </rPr>
          <t xml:space="preserve">
</t>
        </r>
      </text>
    </comment>
    <comment ref="I127" authorId="3" shapeId="0" xr:uid="{BC583623-96F9-4C7A-86C5-915F51C4588D}">
      <text>
        <r>
          <rPr>
            <b/>
            <sz val="9"/>
            <color rgb="FF000000"/>
            <rFont val="Segoe UI"/>
            <family val="2"/>
          </rPr>
          <t>IDEM MEMÓRIA DE CÁLCULO REF 1º ANO.</t>
        </r>
      </text>
    </comment>
    <comment ref="I128" authorId="3" shapeId="0" xr:uid="{41D72504-95AE-4EF3-A9E6-D9247F614C8A}">
      <text>
        <r>
          <rPr>
            <sz val="9"/>
            <color rgb="FF000000"/>
            <rFont val="Segoe UI"/>
            <family val="2"/>
          </rPr>
          <t>Valor referente ao equipamento dos SUBSTITUTOS que irão cobrir as férias, como não há como fornecer parte de um equipamento adotou-se, para este quesito, dividir o nº de postos pela quantidade de postos que cada substituto pode cobrir no 5º ANO, arredondado para cima a qtd de SUBSTITUTOS ferista, assim,  46/11 = 4,18 - arredondado para cima a qtd de SUBSTITUTOS =5, assim, por exemplo 4,18 SUBSTITUTOS, para fins de uniforme é considerado 5 terceirizados. 
Como a quantidade de equipamentos é fixa por local e seu valor advém do rateio deste valor pelo nº de terceirizados alocados no contrato, o valor referente ao ferista (terceirizados não presentes no cálculo de quantidade de postos) será um valor negativo a diminuir do todo, pois está se incluindo quantidades ao divisor.
Para cálculo de equipamentos dos substituto de férias será considerado 5 terceirizados.
Custo do equipamento para cada posto, levando-se em conta que este custo deve ser dividido pelo total de postos em cada local e que os feristas somam ao divisor, ou seja, como se houvessem mais 5 postos.
cálculo do valor para equipamentos dos feristas = vlr mensal do equipamento / nº de postos no local (recepcionistas; telefonistas; recepcionista feristas; telefonista ferista) - vlr do equipamento rateado entre a qtd de postos para o local) - vlr mensal do equipamento.</t>
        </r>
      </text>
    </comment>
    <comment ref="B138" authorId="2" shapeId="0" xr:uid="{7ACCFEAA-394A-4582-91A9-B7F4D50D430A}">
      <text>
        <r>
          <rPr>
            <sz val="10"/>
            <color rgb="FF000000"/>
            <rFont val="Times New Roman"/>
            <family val="1"/>
          </rPr>
          <t xml:space="preserve">BASE DE CÁLCULO DOS CUSTOS INDIRETOS  = (Soma dos Módulos 1, 2, 3, 4 e 5).  </t>
        </r>
        <r>
          <rPr>
            <b/>
            <sz val="10"/>
            <color rgb="FF000000"/>
            <rFont val="Times New Roman"/>
            <family val="1"/>
          </rPr>
          <t>Max 5% TCU Acórdão nº 1753/2008- Plenário</t>
        </r>
      </text>
    </comment>
    <comment ref="B139" authorId="2" shapeId="0" xr:uid="{047D11A2-ED2E-471B-BBD4-D1AA44428815}">
      <text>
        <r>
          <rPr>
            <sz val="10"/>
            <color rgb="FF000000"/>
            <rFont val="Times New Roman"/>
            <family val="1"/>
          </rPr>
          <t xml:space="preserve">BASE DE CÁLCULO DO LUCRO = (Soma dos Módulos 1, 2, 3, 4 e 5) + Custos Indiretos.  </t>
        </r>
        <r>
          <rPr>
            <b/>
            <sz val="10"/>
            <color rgb="FF000000"/>
            <rFont val="Times New Roman"/>
            <family val="1"/>
          </rPr>
          <t>Max 5% TCU Acórdão nº 1753/2008- Plenário</t>
        </r>
      </text>
    </comment>
    <comment ref="H140" authorId="1" shapeId="0" xr:uid="{B2C6BE31-A540-40D0-9491-E6174A5CE332}">
      <text>
        <r>
          <rPr>
            <sz val="10"/>
            <color rgb="FF000000"/>
            <rFont val="Times New Roman"/>
            <family val="1"/>
          </rPr>
          <t>IDEM MEMÓRIA DE CÁLCULO REF 1º ANO.</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Marcio J. Ferro</author>
  </authors>
  <commentList>
    <comment ref="A4" authorId="0" shapeId="0" xr:uid="{BB16D8EB-1629-47B6-8B75-7E8A3FB9891E}">
      <text>
        <r>
          <rPr>
            <b/>
            <sz val="9"/>
            <color indexed="81"/>
            <rFont val="Segoe UI"/>
            <charset val="1"/>
          </rPr>
          <t>Marcio J. Ferro:</t>
        </r>
        <r>
          <rPr>
            <sz val="9"/>
            <color indexed="81"/>
            <rFont val="Segoe UI"/>
            <charset val="1"/>
          </rPr>
          <t xml:space="preserve">
DATA DA PROPOSTA, TRAZ AUTOMATICAMENTE A DATA DO DIA, CASO QUEIRA ALTERAR É SÓ DIGITAR A DATA PRETENDIDA.</t>
        </r>
      </text>
    </comment>
    <comment ref="A7" authorId="0" shapeId="0" xr:uid="{310A7DAC-97C1-4E31-84D8-9CA47BFF0254}">
      <text>
        <r>
          <rPr>
            <b/>
            <sz val="9"/>
            <color indexed="81"/>
            <rFont val="Segoe UI"/>
            <family val="2"/>
          </rPr>
          <t>Marcio J. Ferro:</t>
        </r>
        <r>
          <rPr>
            <sz val="9"/>
            <color indexed="81"/>
            <rFont val="Segoe UI"/>
            <family val="2"/>
          </rPr>
          <t xml:space="preserve">
LOCAL DE PRESTAÇÃO DOS SERVIÇOS</t>
        </r>
      </text>
    </comment>
    <comment ref="B7" authorId="0" shapeId="0" xr:uid="{D59922FE-5814-42DA-8C74-C49EF86264F9}">
      <text>
        <r>
          <rPr>
            <b/>
            <sz val="9"/>
            <color indexed="81"/>
            <rFont val="Segoe UI"/>
            <family val="2"/>
          </rPr>
          <t>Marcio J. Ferro:</t>
        </r>
        <r>
          <rPr>
            <sz val="9"/>
            <color indexed="81"/>
            <rFont val="Segoe UI"/>
            <family val="2"/>
          </rPr>
          <t xml:space="preserve">
QUANTIDADE DE POSTOS PREVISTOS PARA CADA LOCAL.</t>
        </r>
      </text>
    </comment>
    <comment ref="C7" authorId="0" shapeId="0" xr:uid="{E1A3FAB9-7551-4791-8FB8-0E508CC051A5}">
      <text>
        <r>
          <rPr>
            <b/>
            <sz val="9"/>
            <color indexed="81"/>
            <rFont val="Segoe UI"/>
            <family val="2"/>
          </rPr>
          <t>Marcio J. Ferro:</t>
        </r>
        <r>
          <rPr>
            <sz val="9"/>
            <color indexed="81"/>
            <rFont val="Segoe UI"/>
            <family val="2"/>
          </rPr>
          <t xml:space="preserve">
POSTO DE TRABALHO</t>
        </r>
      </text>
    </comment>
    <comment ref="D7" authorId="0" shapeId="0" xr:uid="{28E9BAB7-B506-448E-9E91-FAFB179B0818}">
      <text>
        <r>
          <rPr>
            <b/>
            <sz val="9"/>
            <color indexed="81"/>
            <rFont val="Segoe UI"/>
            <family val="2"/>
          </rPr>
          <t>Marcio J. Ferro:</t>
        </r>
        <r>
          <rPr>
            <sz val="9"/>
            <color indexed="81"/>
            <rFont val="Segoe UI"/>
            <family val="2"/>
          </rPr>
          <t xml:space="preserve">
DADOS DA CONVENÇÃO COLETIVA OU ACORDO COLETIVO.</t>
        </r>
      </text>
    </comment>
    <comment ref="E7" authorId="0" shapeId="0" xr:uid="{7A704046-D6A5-4B08-9868-9C2867F7AB13}">
      <text>
        <r>
          <rPr>
            <b/>
            <sz val="9"/>
            <color indexed="81"/>
            <rFont val="Segoe UI"/>
            <family val="2"/>
          </rPr>
          <t>Marcio J. Ferro:</t>
        </r>
        <r>
          <rPr>
            <sz val="9"/>
            <color indexed="81"/>
            <rFont val="Segoe UI"/>
            <family val="2"/>
          </rPr>
          <t xml:space="preserve">
DATA BASE DA CONVENÇÃO COLETIVA.</t>
        </r>
      </text>
    </comment>
    <comment ref="F7" authorId="0" shapeId="0" xr:uid="{6F5B3F0A-6D3C-4226-AFDC-8F01F7F92E97}">
      <text>
        <r>
          <rPr>
            <sz val="9"/>
            <color indexed="81"/>
            <rFont val="Segoe UI"/>
            <family val="2"/>
          </rPr>
          <t>O SINDICATO UTILIZADO NA ELABORAÇÃO DA PLANILHA DE FORMAÇÃO DE CUSTOS PELA ADMINISTRAÇÃO FOI O "SIEMACO/PR", POIS, HISTORICAMENTE AS EMPRESAS QUE PRESTARAM OS SERVIÇOS OBJETO DESTA LICITAÇÃO AO LONGO DE 20 ANOS O UTILIZARAM, SENDO SEUS SALÁRIOS E BENEFÍCIOS CAPAZ DE MANTER MÃO DE OBRA QUALIFICADA JUNTO AOS CONTRATOS.</t>
        </r>
        <r>
          <rPr>
            <b/>
            <sz val="9"/>
            <color indexed="81"/>
            <rFont val="Segoe UI"/>
            <charset val="1"/>
          </rPr>
          <t xml:space="preserve">
</t>
        </r>
        <r>
          <rPr>
            <sz val="9"/>
            <color indexed="81"/>
            <rFont val="Segoe UI"/>
            <family val="2"/>
          </rPr>
          <t>PODERÁ SER UTILIZADO OUTROS SINDICATOS NA FORMAÇÃO DOS CUSTOS DESDE QUE LEGALMENTE TENHA REPRESENTIVIDADE DA CATEGORIA E ABRANGÊNCIA.</t>
        </r>
      </text>
    </comment>
    <comment ref="G7" authorId="0" shapeId="0" xr:uid="{ED5BB7A7-AEF0-4EAF-9763-D2130082518F}">
      <text>
        <r>
          <rPr>
            <b/>
            <sz val="9"/>
            <color indexed="81"/>
            <rFont val="Segoe UI"/>
            <family val="2"/>
          </rPr>
          <t>Marcio J. Ferro:</t>
        </r>
        <r>
          <rPr>
            <sz val="9"/>
            <color indexed="81"/>
            <rFont val="Segoe UI"/>
            <family val="2"/>
          </rPr>
          <t xml:space="preserve">
CARGA HORÁRIA MENSAL BASE DA CONVENÇÃO COLETIVA.</t>
        </r>
      </text>
    </comment>
    <comment ref="H7" authorId="0" shapeId="0" xr:uid="{EBAA6B66-B6D6-4A5C-BDAB-BADCF5B91FE9}">
      <text>
        <r>
          <rPr>
            <b/>
            <sz val="9"/>
            <color indexed="81"/>
            <rFont val="Segoe UI"/>
            <family val="2"/>
          </rPr>
          <t>Marcio J. Ferro:</t>
        </r>
        <r>
          <rPr>
            <sz val="9"/>
            <color indexed="81"/>
            <rFont val="Segoe UI"/>
            <family val="2"/>
          </rPr>
          <t xml:space="preserve">
Salário integral conforme convenção coletiva, normalmente para jornada de 220 horas/mês (Recepcionista) e de 180 horas/mês (Telefonista).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I7" authorId="0" shapeId="0" xr:uid="{D3B7D3C3-420C-48F2-9486-E840A862E9E6}">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J7" authorId="0" shapeId="0" xr:uid="{1A2EA1A8-5B58-48B6-BD83-7532B83B463A}">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K7" authorId="0" shapeId="0" xr:uid="{06245A11-4CEE-43E9-AB4A-8DBE037024A8}">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L7" authorId="0" shapeId="0" xr:uid="{E2B31189-0F1F-4553-9D5D-7016DCA89E9E}">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M7" authorId="0" shapeId="0" xr:uid="{DB482CD0-F87F-44D6-9339-31E702E8775D}">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N7" authorId="0" shapeId="0" xr:uid="{4894B0EB-7A43-4047-A144-E24FF95C20B2}">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Q7" authorId="0" shapeId="0" xr:uid="{28ACC85C-5AE3-4668-BBDD-ADD6BB8230D3}">
      <text>
        <r>
          <rPr>
            <b/>
            <sz val="9"/>
            <color indexed="81"/>
            <rFont val="Segoe UI"/>
            <family val="2"/>
          </rPr>
          <t>Marcio J. Ferro:</t>
        </r>
        <r>
          <rPr>
            <sz val="9"/>
            <color indexed="81"/>
            <rFont val="Segoe UI"/>
            <family val="2"/>
          </rPr>
          <t xml:space="preserve">
Considerando que 33,71% NÃO cumprem aviso prévio (variável)= dado estatítico do caderno técnico de limpeza para o Paraná pag. 16.
ESTE DADO ESTATÍSTICO PODE SER ALTERADO PELO LICITANTE CONFORME FOR O SEU ENTENDIMENTO.</t>
        </r>
      </text>
    </comment>
    <comment ref="R7" authorId="0" shapeId="0" xr:uid="{05A53898-3CB7-4A8E-86FA-C5FAD0F91949}">
      <text>
        <r>
          <rPr>
            <b/>
            <sz val="9"/>
            <color indexed="81"/>
            <rFont val="Segoe UI"/>
            <family val="2"/>
          </rPr>
          <t>Marcio J. Ferro:</t>
        </r>
        <r>
          <rPr>
            <sz val="9"/>
            <color indexed="81"/>
            <rFont val="Segoe UI"/>
            <family val="2"/>
          </rPr>
          <t xml:space="preserve">
Considerando que 33,71%  CUMPREM o aviso prévio (variável)= dado estatítico do caderno técnico de limpeza para o Paraná pag. 16
ESTE DADO ESTATÍSTICO PODE SER ALTERADO PELO LICITANTE CONFORME FOR O SEU ENTENDIMENTO.</t>
        </r>
      </text>
    </comment>
    <comment ref="S7" authorId="0" shapeId="0" xr:uid="{F56A60DD-9E0E-4884-AA2A-BA6C69A21027}">
      <text>
        <r>
          <rPr>
            <b/>
            <sz val="9"/>
            <color indexed="81"/>
            <rFont val="Segoe UI"/>
            <family val="2"/>
          </rPr>
          <t>Marcio J. Ferro:</t>
        </r>
        <r>
          <rPr>
            <sz val="9"/>
            <color indexed="81"/>
            <rFont val="Segoe UI"/>
            <family val="2"/>
          </rPr>
          <t xml:space="preserve">
BASE DE CÁLCULO DOS CUSTOS INDIRETOS  = (Soma dos Módulos 1, 2, 3, 4 e 5).  Max 5% TCU Acórdão nº 1753/2008- Plenário</t>
        </r>
      </text>
    </comment>
    <comment ref="T7" authorId="0" shapeId="0" xr:uid="{97E72CCA-E060-4795-874C-0D0FD1638203}">
      <text>
        <r>
          <rPr>
            <b/>
            <sz val="9"/>
            <color indexed="81"/>
            <rFont val="Segoe UI"/>
            <family val="2"/>
          </rPr>
          <t>Marcio J. Ferro:</t>
        </r>
        <r>
          <rPr>
            <sz val="9"/>
            <color indexed="81"/>
            <rFont val="Segoe UI"/>
            <family val="2"/>
          </rPr>
          <t xml:space="preserve">
BASE DE CÁLCULO DO LUCRO = (Soma dos Módulos 1, 2, 3, 4 e 5) + Custos Indiretos.  Max 5% TCU Acórdão nº 1753/2008- Plenário</t>
        </r>
      </text>
    </comment>
    <comment ref="U7" authorId="0" shapeId="0" xr:uid="{18FC787A-0D45-4329-BF91-CBE31DAC94D7}">
      <text>
        <r>
          <rPr>
            <b/>
            <sz val="9"/>
            <color indexed="81"/>
            <rFont val="Segoe UI"/>
            <family val="2"/>
          </rPr>
          <t>Marcio J. Ferro:</t>
        </r>
        <r>
          <rPr>
            <sz val="9"/>
            <color indexed="81"/>
            <rFont val="Segoe UI"/>
            <family val="2"/>
          </rPr>
          <t xml:space="preserve">
ISS CONFORME OS LOCAIS DE PRESTAÇÃO DE SERVIÇOS.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Marcio J. Ferro</author>
    <author>Silvino Schlickmann Junior</author>
  </authors>
  <commentList>
    <comment ref="A4" authorId="0" shapeId="0" xr:uid="{40B4B6FE-39F0-4B2A-A402-6B1408B9A666}">
      <text>
        <r>
          <rPr>
            <b/>
            <sz val="9"/>
            <color indexed="81"/>
            <rFont val="Segoe UI"/>
            <charset val="1"/>
          </rPr>
          <t>Marcio J. Ferro:</t>
        </r>
        <r>
          <rPr>
            <sz val="9"/>
            <color indexed="81"/>
            <rFont val="Segoe UI"/>
            <charset val="1"/>
          </rPr>
          <t xml:space="preserve">
DATA DA PROPOSTA, TRAZ AUTOMATICAMENTE A DATA DO DIA, CASO QUEIRA ALTERAR É SÓ DIGITAR A DATA PRETENDIDA.</t>
        </r>
      </text>
    </comment>
    <comment ref="B4" authorId="0" shapeId="0" xr:uid="{358276CB-F92C-4DC6-9A69-633339B037EF}">
      <text>
        <r>
          <rPr>
            <b/>
            <sz val="9"/>
            <color indexed="81"/>
            <rFont val="Segoe UI"/>
            <charset val="1"/>
          </rPr>
          <t>Marcio J. Ferro:</t>
        </r>
        <r>
          <rPr>
            <sz val="9"/>
            <color indexed="81"/>
            <rFont val="Segoe UI"/>
            <charset val="1"/>
          </rPr>
          <t xml:space="preserve">
DATA DA PROPOSTA, TRAZ AUTOMATICAMENTE A DATA DO DIA, CASO QUEIRA ALTERAR É SÓ DIGITAR A DATA PRETENDIDA.</t>
        </r>
      </text>
    </comment>
    <comment ref="A7" authorId="0" shapeId="0" xr:uid="{6B71ED8E-5580-4AE4-A8A1-52AE7B330651}">
      <text>
        <r>
          <rPr>
            <b/>
            <sz val="9"/>
            <color indexed="81"/>
            <rFont val="Segoe UI"/>
            <family val="2"/>
          </rPr>
          <t>Marcio J. Ferro:</t>
        </r>
        <r>
          <rPr>
            <sz val="9"/>
            <color indexed="81"/>
            <rFont val="Segoe UI"/>
            <family val="2"/>
          </rPr>
          <t xml:space="preserve">
LOCAL DE PRESTAÇÃO DOS SERVIÇOS</t>
        </r>
      </text>
    </comment>
    <comment ref="B7" authorId="0" shapeId="0" xr:uid="{C7248393-1D6D-4AF5-8A9A-9138366125E2}">
      <text>
        <r>
          <rPr>
            <b/>
            <sz val="9"/>
            <color indexed="81"/>
            <rFont val="Segoe UI"/>
            <family val="2"/>
          </rPr>
          <t>Marcio J. Ferro:</t>
        </r>
        <r>
          <rPr>
            <sz val="9"/>
            <color indexed="81"/>
            <rFont val="Segoe UI"/>
            <family val="2"/>
          </rPr>
          <t xml:space="preserve">
QUANTIDADE DE POSTOS PREVISTOS PARA CADA LOCAL.</t>
        </r>
      </text>
    </comment>
    <comment ref="C7" authorId="0" shapeId="0" xr:uid="{E6649E82-547D-4960-8A9B-34A4ABC33B06}">
      <text>
        <r>
          <rPr>
            <b/>
            <sz val="9"/>
            <color indexed="81"/>
            <rFont val="Segoe UI"/>
            <family val="2"/>
          </rPr>
          <t>Marcio J. Ferro:</t>
        </r>
        <r>
          <rPr>
            <sz val="9"/>
            <color indexed="81"/>
            <rFont val="Segoe UI"/>
            <family val="2"/>
          </rPr>
          <t xml:space="preserve">
POSTO DE TRABALHO</t>
        </r>
      </text>
    </comment>
    <comment ref="D7" authorId="0" shapeId="0" xr:uid="{ECCD4C6C-7484-4A31-A49A-E6D1129F102E}">
      <text>
        <r>
          <rPr>
            <b/>
            <sz val="9"/>
            <color indexed="81"/>
            <rFont val="Segoe UI"/>
            <family val="2"/>
          </rPr>
          <t>Marcio J. Ferro:</t>
        </r>
        <r>
          <rPr>
            <sz val="9"/>
            <color indexed="81"/>
            <rFont val="Segoe UI"/>
            <family val="2"/>
          </rPr>
          <t xml:space="preserve">
DADOS DA CONVENÇÃO COLETIVA OU ACORDO COLETIVO.</t>
        </r>
      </text>
    </comment>
    <comment ref="E7" authorId="0" shapeId="0" xr:uid="{4E26A7CD-B83A-4EE0-BAEB-9254F1664326}">
      <text>
        <r>
          <rPr>
            <b/>
            <sz val="9"/>
            <color indexed="81"/>
            <rFont val="Segoe UI"/>
            <family val="2"/>
          </rPr>
          <t>Marcio J. Ferro:</t>
        </r>
        <r>
          <rPr>
            <sz val="9"/>
            <color indexed="81"/>
            <rFont val="Segoe UI"/>
            <family val="2"/>
          </rPr>
          <t xml:space="preserve">
DATA BASE DA CONVENÇÃO COLETIVA.</t>
        </r>
      </text>
    </comment>
    <comment ref="F7" authorId="0" shapeId="0" xr:uid="{9FDFE83F-E8A1-44ED-8854-40104002551A}">
      <text>
        <r>
          <rPr>
            <sz val="9"/>
            <color indexed="81"/>
            <rFont val="Segoe UI"/>
            <family val="2"/>
          </rPr>
          <t>O SINDICATO UTILIZADO NA ELABORAÇÃO DA PLANILHA DE FORMAÇÃO DE CUSTOS PELA ADMINISTRAÇÃO FOI O "SIEMACO/PR", POIS, HISTORICAMENTE AS EMPRESAS QUE PRESTARAM OS SERVIÇOS OBJETO DESTA LICITAÇÃO AO LONGO DE 20 ANOS O UTILIZARAM, SENDO SEUS SALÁRIOS E BENEFÍCIOS CAPAZ DE MANTER MÃO DE OBRA QUALIFICADA JUNTO AOS CONTRATOS.</t>
        </r>
        <r>
          <rPr>
            <b/>
            <sz val="9"/>
            <color indexed="81"/>
            <rFont val="Segoe UI"/>
            <charset val="1"/>
          </rPr>
          <t xml:space="preserve">
</t>
        </r>
        <r>
          <rPr>
            <sz val="9"/>
            <color indexed="81"/>
            <rFont val="Segoe UI"/>
            <family val="2"/>
          </rPr>
          <t>PODERÁ SER UTILIZADO OUTROS SINDICATOS NA FORMAÇÃO DOS CUSTOS DESDE QUE LEGALMENTE TENHA REPRESENTIVIDADE DA CATEGORIA E ABRANGÊNCIA.</t>
        </r>
      </text>
    </comment>
    <comment ref="G7" authorId="0" shapeId="0" xr:uid="{02F6A623-EF91-49C3-9269-84BF1672F447}">
      <text>
        <r>
          <rPr>
            <b/>
            <sz val="9"/>
            <color indexed="81"/>
            <rFont val="Segoe UI"/>
            <family val="2"/>
          </rPr>
          <t>Marcio J. Ferro:</t>
        </r>
        <r>
          <rPr>
            <sz val="9"/>
            <color indexed="81"/>
            <rFont val="Segoe UI"/>
            <family val="2"/>
          </rPr>
          <t xml:space="preserve">
CARGA HORÁRIA MENSAL BASE DA CONVENÇÃO COLETIVA.</t>
        </r>
      </text>
    </comment>
    <comment ref="H7" authorId="0" shapeId="0" xr:uid="{B892850E-0530-495B-8940-5C99655C0A5F}">
      <text>
        <r>
          <rPr>
            <b/>
            <sz val="9"/>
            <color indexed="81"/>
            <rFont val="Segoe UI"/>
            <family val="2"/>
          </rPr>
          <t>Marcio J. Ferro:</t>
        </r>
        <r>
          <rPr>
            <sz val="9"/>
            <color indexed="81"/>
            <rFont val="Segoe UI"/>
            <family val="2"/>
          </rPr>
          <t xml:space="preserve">
Salário integral conforme convenção coletiva, normalmente para jornada de 220 horas/mês (Recepcionista) e de 180 horas/mês (Telefonista).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I7" authorId="0" shapeId="0" xr:uid="{9E250336-ACA2-48A2-8A8D-8EBEFE0110DC}">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J7" authorId="0" shapeId="0" xr:uid="{B2435C86-45EE-41CA-A7FA-12B2C2869EC5}">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K7" authorId="0" shapeId="0" xr:uid="{71BB863D-284F-4249-8201-99C75905E633}">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L7" authorId="0" shapeId="0" xr:uid="{2F0E0E72-E033-439A-ACBE-0C263CAD71B1}">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M7" authorId="0" shapeId="0" xr:uid="{55424A45-2B58-4E39-835E-7E613ED9EC56}">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N7" authorId="0" shapeId="0" xr:uid="{60CF2C10-FD71-4705-BA71-ACB457B1EBB5}">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Q7" authorId="0" shapeId="0" xr:uid="{75BEC433-8053-493B-8827-88E5BD52C1CD}">
      <text>
        <r>
          <rPr>
            <b/>
            <sz val="9"/>
            <color indexed="81"/>
            <rFont val="Segoe UI"/>
            <family val="2"/>
          </rPr>
          <t>Marcio J. Ferro:</t>
        </r>
        <r>
          <rPr>
            <sz val="9"/>
            <color indexed="81"/>
            <rFont val="Segoe UI"/>
            <family val="2"/>
          </rPr>
          <t xml:space="preserve">
Considerando que 33,71% NÃO cumprem aviso prévio (variável)= dado estatítico do caderno técnico de limpeza para o Paraná pag. 16.
ESTE DADO ESTATÍSTICO PODE SER ALTERADO PELO LICITANTE CONFORME FOR O SEU ENTENDIMENTO.</t>
        </r>
      </text>
    </comment>
    <comment ref="R7" authorId="0" shapeId="0" xr:uid="{BFFD6E41-DD62-4D41-ADE5-3327F06F38FD}">
      <text>
        <r>
          <rPr>
            <b/>
            <sz val="9"/>
            <color indexed="81"/>
            <rFont val="Segoe UI"/>
            <family val="2"/>
          </rPr>
          <t>Marcio J. Ferro:</t>
        </r>
        <r>
          <rPr>
            <sz val="9"/>
            <color indexed="81"/>
            <rFont val="Segoe UI"/>
            <family val="2"/>
          </rPr>
          <t xml:space="preserve">
Considerando que 33,71%  CUMPREM o aviso prévio (variável)= dado estatítico do caderno técnico de limpeza para o Paraná pag. 16
ESTE DADO ESTATÍSTICO PODE SER ALTERADO PELO LICITANTE CONFORME FOR O SEU ENTENDIMENTO.</t>
        </r>
      </text>
    </comment>
    <comment ref="S7" authorId="0" shapeId="0" xr:uid="{68D1F6E2-1AB4-4353-87AF-49D892C77D66}">
      <text>
        <r>
          <rPr>
            <b/>
            <sz val="9"/>
            <color indexed="81"/>
            <rFont val="Segoe UI"/>
            <family val="2"/>
          </rPr>
          <t>Marcio J. Ferro:</t>
        </r>
        <r>
          <rPr>
            <sz val="9"/>
            <color indexed="81"/>
            <rFont val="Segoe UI"/>
            <family val="2"/>
          </rPr>
          <t xml:space="preserve">
BASE DE CÁLCULO DOS CUSTOS INDIRETOS  = (Soma dos Módulos 1, 2, 3, 4 e 5).  Max 5% TCU Acórdão nº 1753/2008- Plenário</t>
        </r>
      </text>
    </comment>
    <comment ref="T7" authorId="0" shapeId="0" xr:uid="{89A4EE66-A288-42C0-9452-2125C1642629}">
      <text>
        <r>
          <rPr>
            <b/>
            <sz val="9"/>
            <color indexed="81"/>
            <rFont val="Segoe UI"/>
            <family val="2"/>
          </rPr>
          <t>Marcio J. Ferro:</t>
        </r>
        <r>
          <rPr>
            <sz val="9"/>
            <color indexed="81"/>
            <rFont val="Segoe UI"/>
            <family val="2"/>
          </rPr>
          <t xml:space="preserve">
BASE DE CÁLCULO DO LUCRO = (Soma dos Módulos 1, 2, 3, 4 e 5) + Custos Indiretos.  Max 5% TCU Acórdão nº 1753/2008- Plenário</t>
        </r>
      </text>
    </comment>
    <comment ref="U7" authorId="0" shapeId="0" xr:uid="{762AB260-E79F-4D8A-900A-0C4A27463575}">
      <text>
        <r>
          <rPr>
            <b/>
            <sz val="9"/>
            <color indexed="81"/>
            <rFont val="Segoe UI"/>
            <family val="2"/>
          </rPr>
          <t>Marcio J. Ferro:</t>
        </r>
        <r>
          <rPr>
            <sz val="9"/>
            <color indexed="81"/>
            <rFont val="Segoe UI"/>
            <family val="2"/>
          </rPr>
          <t xml:space="preserve">
ISS CONFORME OS LOCAIS DE PRESTAÇÃO DE SERVIÇOS.</t>
        </r>
      </text>
    </comment>
    <comment ref="B25" authorId="0" shapeId="0" xr:uid="{E57160B7-04E8-4496-9C4B-73A907699345}">
      <text>
        <r>
          <rPr>
            <b/>
            <sz val="9"/>
            <color indexed="81"/>
            <rFont val="Segoe UI"/>
            <family val="2"/>
          </rPr>
          <t>Marcio J. Ferro:</t>
        </r>
        <r>
          <rPr>
            <sz val="9"/>
            <color indexed="81"/>
            <rFont val="Segoe UI"/>
            <family val="2"/>
          </rPr>
          <t xml:space="preserve">
ESCOLHA AQUI A FORMA DE TRIBUTAÇÃO DA SUA EMPRESA</t>
        </r>
      </text>
    </comment>
    <comment ref="C27" authorId="0" shapeId="0" xr:uid="{7D36131C-7905-4B43-B9FB-AA8143D285DB}">
      <text>
        <r>
          <rPr>
            <b/>
            <sz val="9"/>
            <color indexed="81"/>
            <rFont val="Segoe UI"/>
            <family val="2"/>
          </rPr>
          <t>Marcio J. Ferro:</t>
        </r>
        <r>
          <rPr>
            <sz val="9"/>
            <color indexed="81"/>
            <rFont val="Segoe UI"/>
            <family val="2"/>
          </rPr>
          <t xml:space="preserve">
EM CASO DE TRIBUTAÇÃO POR LUCRO REAL, DEVE SER ALTERADO CONFORME A MÉDIA DE TRIBUTAÇÃO DOS ÚLTIMOS 12 MESES.</t>
        </r>
      </text>
    </comment>
    <comment ref="C28" authorId="0" shapeId="0" xr:uid="{57736668-C6CF-4433-8348-1DBF852631A4}">
      <text>
        <r>
          <rPr>
            <b/>
            <sz val="9"/>
            <color indexed="81"/>
            <rFont val="Segoe UI"/>
            <family val="2"/>
          </rPr>
          <t>Marcio J. Ferro:</t>
        </r>
        <r>
          <rPr>
            <sz val="9"/>
            <color indexed="81"/>
            <rFont val="Segoe UI"/>
            <family val="2"/>
          </rPr>
          <t xml:space="preserve">
EM CASO DE TRIBUTAÇÃO POR LUCRO REAL, DEVE SER ALTERADO CONFORME A MÉDIA DE TRIBUTAÇÃO DOS ÚLTIMOS 12 MESES.</t>
        </r>
      </text>
    </comment>
    <comment ref="B31" authorId="1" shapeId="0" xr:uid="{00000000-0006-0000-0100-000007000000}">
      <text>
        <r>
          <rPr>
            <b/>
            <sz val="9"/>
            <color rgb="FF000000"/>
            <rFont val="Segoe UI"/>
            <family val="2"/>
          </rPr>
          <t>ajustar conforme recolhimento da empresa</t>
        </r>
      </text>
    </comment>
    <comment ref="C31" authorId="1" shapeId="0" xr:uid="{00000000-0006-0000-0100-000008000000}">
      <text>
        <r>
          <rPr>
            <b/>
            <sz val="9"/>
            <color rgb="FF000000"/>
            <rFont val="Segoe UI"/>
            <family val="2"/>
          </rPr>
          <t>ajustar conforme recolhimento da empresa</t>
        </r>
      </text>
    </comment>
    <comment ref="C39" authorId="0" shapeId="0" xr:uid="{0F4B79F7-5AD5-4B0F-A6CF-70BA993D23B6}">
      <text>
        <r>
          <rPr>
            <b/>
            <sz val="9"/>
            <color indexed="81"/>
            <rFont val="Segoe UI"/>
            <family val="2"/>
          </rPr>
          <t>Marcio J. Ferro:</t>
        </r>
        <r>
          <rPr>
            <sz val="9"/>
            <color indexed="81"/>
            <rFont val="Segoe UI"/>
            <family val="2"/>
          </rPr>
          <t xml:space="preserve">
VALORES APRESENTADOS COMO CUSTO DA EMPRESA PARA CADA PEÇA DE UNIFORME
</t>
        </r>
      </text>
    </comment>
    <comment ref="A48" authorId="0" shapeId="0" xr:uid="{4933308E-44D5-4AC7-9B17-819E34ED5D38}">
      <text>
        <r>
          <rPr>
            <b/>
            <sz val="9"/>
            <color indexed="81"/>
            <rFont val="Segoe UI"/>
            <family val="2"/>
          </rPr>
          <t>Marcio J. Ferro:</t>
        </r>
        <r>
          <rPr>
            <sz val="9"/>
            <color indexed="81"/>
            <rFont val="Segoe UI"/>
            <family val="2"/>
          </rPr>
          <t xml:space="preserve">
DESCREVER MATERIAIS E OS CUSTOS SE HOUVER.</t>
        </r>
      </text>
    </comment>
    <comment ref="D54" authorId="1" shapeId="0" xr:uid="{00000000-0006-0000-0100-00000B000000}">
      <text>
        <r>
          <rPr>
            <b/>
            <sz val="9"/>
            <color rgb="FF000000"/>
            <rFont val="Segoe UI"/>
            <family val="2"/>
          </rPr>
          <t>VALOR UNITÁRIO DO EQUIPAMENTO DE PONTO BIOMÉTRICO.</t>
        </r>
      </text>
    </comment>
    <comment ref="H58" authorId="0" shapeId="0" xr:uid="{C0F7F711-CB55-46C3-9066-1A42736AB2AC}">
      <text>
        <r>
          <rPr>
            <sz val="9"/>
            <color indexed="81"/>
            <rFont val="Segoe UI"/>
            <family val="2"/>
          </rPr>
          <t>Dados Estatísticos Caderno Técnico Limpeza 2019 PR pág. 20.
A LICITANTE DEVE PREENCHER CADA ITEM ABAIXO COMO FOR SEU ENTENDIMENTO ACERCA DE PREVISÃO DE AFASTAMENTOS, PORÉM DEVE COBRIR TODOS OS AFASTAMENTOS NA EXECUÇÃO DO CONTRATO.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Marcio J. Ferro</author>
    <author>Rossicléia Ferreira Campos</author>
    <author>Janayra Saraiva Lopes</author>
    <author>Silvino Schlickmann Junior</author>
  </authors>
  <commentList>
    <comment ref="H17" authorId="0" shapeId="0" xr:uid="{C07D4F96-4491-4ED7-A53B-5E6633B7969C}">
      <text>
        <r>
          <rPr>
            <sz val="9"/>
            <color indexed="81"/>
            <rFont val="Segoe UI"/>
            <family val="2"/>
          </rPr>
          <t>IDEM MEMÓRIA DE CÁLCULO REF 1º ANO / ***ESTE VALOR SERÁ ALTERADO QUANDO HOUVER REEQUILÍBRIO POR FORÇA DE NOVA CONVENÇÃO COLETIVA DA CATEGORIA.</t>
        </r>
      </text>
    </comment>
    <comment ref="I23" authorId="0" shapeId="0" xr:uid="{9BA94D38-F589-489E-B56B-D33DFF6C70B0}">
      <text>
        <r>
          <rPr>
            <sz val="9"/>
            <color indexed="81"/>
            <rFont val="Segoe UI"/>
            <family val="2"/>
          </rPr>
          <t>IDEM MEMÓRIA DE CÁLCULO REF 1º ANO / ***ESTE VALOR SERÁ ALTERADO QUANDO HOUVER REEQUILÍBRIO POR FORÇA DE NOVA CONVENÇÃO COLETIVA DA CATEGORIA.</t>
        </r>
      </text>
    </comment>
    <comment ref="I24" authorId="0" shapeId="0" xr:uid="{8947B18E-7967-4684-B316-310EDE71E98F}">
      <text>
        <r>
          <rPr>
            <sz val="9"/>
            <color indexed="81"/>
            <rFont val="Segoe UI"/>
            <family val="2"/>
          </rPr>
          <t>I</t>
        </r>
        <r>
          <rPr>
            <b/>
            <sz val="9"/>
            <color indexed="81"/>
            <rFont val="Segoe UI"/>
            <family val="2"/>
          </rPr>
          <t>DEM MEMÓRIA DE CÁLCULO REF 1º ANO.</t>
        </r>
      </text>
    </comment>
    <comment ref="I28" authorId="0" shapeId="0" xr:uid="{55201D14-FE74-44EE-BD2A-7D1B28523DE0}">
      <text>
        <r>
          <rPr>
            <sz val="9"/>
            <color indexed="81"/>
            <rFont val="Segoe UI"/>
            <family val="2"/>
          </rPr>
          <t>IDEM MEMÓRIA DE CÁLCULO REF 1º ANO / ***ESTE VALOR SERÁ ALTERADO QUANDO HOUVER REEQUILÍBRIO POR FORÇA DE NOVA CONVENÇÃO COLETIVA DA CATEGORIA.</t>
        </r>
      </text>
    </comment>
    <comment ref="H32" authorId="1" shapeId="0" xr:uid="{C0D15CBA-A81A-4A36-B8C2-ECF829E7B293}">
      <text>
        <r>
          <rPr>
            <b/>
            <sz val="10"/>
            <color rgb="FF000000"/>
            <rFont val="Times New Roman"/>
            <family val="1"/>
          </rPr>
          <t xml:space="preserve"> </t>
        </r>
        <r>
          <rPr>
            <sz val="10"/>
            <color rgb="FF000000"/>
            <rFont val="Times New Roman"/>
            <family val="1"/>
          </rPr>
          <t>1/12meses = 0,0833=8,33%;</t>
        </r>
        <r>
          <rPr>
            <sz val="10"/>
            <color rgb="FF000000"/>
            <rFont val="Times New Roman"/>
            <family val="1"/>
          </rPr>
          <t xml:space="preserve">
Cotação de  8,33% sobre o valor do Módulo 1 - Composição da remuneração, conforme Anexo XII da IN 5/17</t>
        </r>
      </text>
    </comment>
    <comment ref="H33" authorId="2" shapeId="0" xr:uid="{2C745355-A2AF-4224-AE7D-13BF9A6AE73D}">
      <text>
        <r>
          <rPr>
            <sz val="9"/>
            <color rgb="FF000000"/>
            <rFont val="Tahoma"/>
            <family val="2"/>
          </rPr>
          <t xml:space="preserve">Cotação de Férias e Adicional de Férias do profissional titular, </t>
        </r>
        <r>
          <rPr>
            <sz val="9"/>
            <color rgb="FF000000"/>
            <rFont val="Tahoma"/>
            <family val="2"/>
          </rPr>
          <t xml:space="preserve">
conforme item 14 do ANEXO XII da IN 5/17. </t>
        </r>
        <r>
          <rPr>
            <b/>
            <i/>
            <u/>
            <sz val="9"/>
            <color rgb="FF000000"/>
            <rFont val="Tahoma"/>
            <family val="2"/>
          </rPr>
          <t xml:space="preserve">
</t>
        </r>
        <r>
          <rPr>
            <sz val="9"/>
            <color rgb="FF000000"/>
            <rFont val="Tahoma"/>
            <family val="2"/>
          </rPr>
          <t xml:space="preserve">Estamos tratando aqui das férias e 1/3 adicional de férias do empregado titular. </t>
        </r>
        <r>
          <rPr>
            <b/>
            <u/>
            <sz val="9"/>
            <color rgb="FF000000"/>
            <rFont val="Tahoma"/>
            <family val="2"/>
          </rPr>
          <t>Não confundir com a provisão do empregado substituto na cobertura de férias.</t>
        </r>
        <r>
          <rPr>
            <sz val="9"/>
            <color rgb="FF000000"/>
            <rFont val="Tahoma"/>
            <family val="2"/>
          </rPr>
          <t xml:space="preserve"> Como a alíquota de 12,1% é obtida pela soma das férias de 9,025% e do adicional de férias de 3,025%, sendo que o valor de férias ocorre somente no primeiro ano de contrato, assim, em caso de prorrogação contratual este quesito será reduzido a alíquota de 3,025%.</t>
        </r>
      </text>
    </comment>
    <comment ref="H35" authorId="0" shapeId="0" xr:uid="{5AAC7DCC-76E4-41DF-922B-B89C9F1C9A41}">
      <text>
        <r>
          <rPr>
            <b/>
            <sz val="9"/>
            <color indexed="81"/>
            <rFont val="Segoe UI"/>
            <charset val="1"/>
          </rPr>
          <t>Marcio J. Ferro:</t>
        </r>
        <r>
          <rPr>
            <sz val="9"/>
            <color indexed="81"/>
            <rFont val="Segoe UI"/>
            <charset val="1"/>
          </rPr>
          <t xml:space="preserve">
</t>
        </r>
      </text>
    </comment>
    <comment ref="I35" authorId="0" shapeId="0" xr:uid="{8A6A5222-9352-4B12-9B2E-633BB323E0CA}">
      <text>
        <r>
          <rPr>
            <sz val="9"/>
            <color indexed="81"/>
            <rFont val="Segoe UI"/>
            <family val="2"/>
          </rPr>
          <t xml:space="preserve">No 1º ANO houve a provisão deste item para ser pago no 2º ANO de execução contratual, na proporção de 12 para 1, ou seja, cada 12 meses de cada posto provisiona o salário do SUBSTITUTO ou a indenização do TITULAR, conforme a ocorrência ou não de prorrogação contratual.
Remuneração do SUBSTITUTO na cobertura de férias, atua como provisão, assim </t>
        </r>
        <r>
          <rPr>
            <b/>
            <sz val="9"/>
            <color indexed="81"/>
            <rFont val="Segoe UI"/>
            <family val="2"/>
          </rPr>
          <t>caso não seja prorogado</t>
        </r>
        <r>
          <rPr>
            <sz val="9"/>
            <color indexed="81"/>
            <rFont val="Segoe UI"/>
            <family val="2"/>
          </rPr>
          <t xml:space="preserve"> o contrato será utilizada como</t>
        </r>
        <r>
          <rPr>
            <b/>
            <sz val="9"/>
            <color indexed="81"/>
            <rFont val="Segoe UI"/>
            <family val="2"/>
          </rPr>
          <t xml:space="preserve"> remuneração de férias do TITULAR</t>
        </r>
        <r>
          <rPr>
            <sz val="9"/>
            <color indexed="81"/>
            <rFont val="Segoe UI"/>
            <family val="2"/>
          </rPr>
          <t xml:space="preserve">, pois, ao não prorrogar o contrato no seu 12º mês as férias do TITULAR derá ser indenizada e arcada com esta provisão.
Em </t>
        </r>
        <r>
          <rPr>
            <b/>
            <sz val="9"/>
            <color indexed="81"/>
            <rFont val="Segoe UI"/>
            <family val="2"/>
          </rPr>
          <t xml:space="preserve">havendo prorrogação contratual para o 3º ANO este item custeará o salário do SUBSTITUTO </t>
        </r>
        <r>
          <rPr>
            <sz val="9"/>
            <color indexed="81"/>
            <rFont val="Segoe UI"/>
            <family val="2"/>
          </rPr>
          <t xml:space="preserve">quando das férias do TITULAR, cada posto no prazo de doze meses somará o valor de  01 mês para este fim e a remuneração do TITULAR já estará presente na planilha no módulo 01 de forma regular. </t>
        </r>
      </text>
    </comment>
    <comment ref="I36" authorId="0" shapeId="0" xr:uid="{3D583007-04D2-4375-986D-3B176FBFC192}">
      <text>
        <r>
          <rPr>
            <sz val="9"/>
            <color indexed="81"/>
            <rFont val="Segoe UI"/>
            <charset val="1"/>
          </rPr>
          <t>Este item somente ocorre a partir do 3º ANO com o provisionamento para o 4º, onde o cálculo é 11 postos para 1 SUBSTITUTO DE FÉRIAS.</t>
        </r>
      </text>
    </comment>
    <comment ref="I37" authorId="0" shapeId="0" xr:uid="{C68578B9-53AB-43E4-9A52-CD92F7577AAF}">
      <text>
        <r>
          <rPr>
            <sz val="9"/>
            <color indexed="81"/>
            <rFont val="Segoe UI"/>
            <family val="2"/>
          </rPr>
          <t>Em tese, durante o 2º ano de execução contratual se dará o gozo das férias adquiridas durante o 1º ano do contrato.
Neste 2º ano cada SUBSTITUTO de férias cobre 12 postos de TITULARES.
Ao fim de 12 meses do 2º ano de execução do contrato, o Substituto de férias terá direito a</t>
        </r>
        <r>
          <rPr>
            <b/>
            <sz val="9"/>
            <color indexed="81"/>
            <rFont val="Segoe UI"/>
            <family val="2"/>
          </rPr>
          <t xml:space="preserve"> férias e 13º salário também, bem como 1/3 de adicional de férias</t>
        </r>
        <r>
          <rPr>
            <sz val="9"/>
            <color indexed="81"/>
            <rFont val="Segoe UI"/>
            <family val="2"/>
          </rPr>
          <t>.
Assim, cada SUBSTITUTO férias no 2º ANO cobre 12 postos, estes 12 postos contribuem 12 meses para isso.
Então: (o nº de postos / pela quantidade de postos cobertos por cada SUBSTITUTO) = quantidade de substitutos (neste caso não precisa arredondar a quantidade por ser proporcional). = 46/12=3,8333
A quantidade de substitutos / 12 meses = fração de cada substituto no mês = 3,8333/12= 0,3194444
A fração de cada substituto no mês / pelo nº de postos= o percentual que cada posto deve repassar para que a Contratada possa arcar com este custo ao final do 2º ANO =0,319444/46= 0,006944*100=0,6944%
Esta regra é aplicada à férias proporcionais e ao 13º salário, o adicional de férias é = 0,6944%/3=0,2314%</t>
        </r>
      </text>
    </comment>
    <comment ref="H48" authorId="1" shapeId="0" xr:uid="{4A74F050-D506-4D29-94E1-1B8D77E1056F}">
      <text>
        <r>
          <rPr>
            <sz val="10"/>
            <color rgb="FF000000"/>
            <rFont val="Times New Roman"/>
            <family val="1"/>
          </rPr>
          <t xml:space="preserve">IDEM MEMÓRIA DE CÁLCULO REF 1º ANO - </t>
        </r>
        <r>
          <rPr>
            <b/>
            <i/>
            <u/>
            <sz val="10"/>
            <color rgb="FF000000"/>
            <rFont val="Times New Roman"/>
            <family val="1"/>
          </rPr>
          <t>*** verificar se o FAP alterou em relação a época da licitação e aplicar o novo FAP, se for o caso.</t>
        </r>
      </text>
    </comment>
    <comment ref="I57" authorId="0" shapeId="0" xr:uid="{EA8C749E-20C6-448A-92F9-1A87369BE2F5}">
      <text>
        <r>
          <rPr>
            <b/>
            <sz val="9"/>
            <color rgb="FF000000"/>
            <rFont val="Segoe UI"/>
            <family val="2"/>
          </rPr>
          <t>AUXILIO TRANSPORTE:</t>
        </r>
        <r>
          <rPr>
            <sz val="9"/>
            <color rgb="FF000000"/>
            <rFont val="Segoe UI"/>
            <family val="2"/>
          </rPr>
          <t xml:space="preserve">
“Art. 10. O valor da parcela a ser suportada pelo beneficiário será descontada proporcionalmente à quantidade de Vale-Transporte concedida para o período a que se refere o salário ou vencimento e por ocasião de seu pagamento, salvo estipulação em contrário, em convenção ou acordo coletivo de trabalho, que favoreça o beneficiário. ”</t>
        </r>
        <r>
          <rPr>
            <sz val="9"/>
            <color rgb="FF000000"/>
            <rFont val="Segoe UI"/>
            <family val="2"/>
          </rPr>
          <t xml:space="preserve">
Desconto: quando não previsto na CCT será de 6%.</t>
        </r>
        <r>
          <rPr>
            <sz val="9"/>
            <color rgb="FF000000"/>
            <rFont val="Segoe UI"/>
            <family val="2"/>
          </rPr>
          <t xml:space="preserve">
Valor do desconto: calculado a partir da incidência de 6% sobre a parcela do salário base aplicado</t>
        </r>
        <r>
          <rPr>
            <sz val="9"/>
            <color rgb="FF000000"/>
            <rFont val="Segoe UI"/>
            <family val="2"/>
          </rPr>
          <t xml:space="preserve">
à proporcionalidade do mês afetada.</t>
        </r>
        <r>
          <rPr>
            <sz val="9"/>
            <color rgb="FF000000"/>
            <rFont val="Segoe UI"/>
            <family val="2"/>
          </rPr>
          <t xml:space="preserve">
Exemplo: Base de Cálculo x Proporcionalidade x Desconto = Valor do desconto</t>
        </r>
      </text>
    </comment>
    <comment ref="H58" authorId="0" shapeId="0" xr:uid="{A76BCBED-5964-48D6-9F93-DB33BB2579D8}">
      <text>
        <r>
          <rPr>
            <sz val="9"/>
            <color indexed="81"/>
            <rFont val="Segoe UI"/>
            <family val="2"/>
          </rPr>
          <t>IDEM MEMÓRIA DE CÁLCULO REF 1º ANO, pode ser alterado em caso de aumento da tarifa de transporte, porém, esta alteração se dá de forma proporcional caso a licitante não tenha utilizado o valor idêntico ao da tarifa.</t>
        </r>
      </text>
    </comment>
    <comment ref="H62" authorId="0" shapeId="0" xr:uid="{ABBC4D80-1F3B-4240-8393-E2BB4490D643}">
      <text>
        <r>
          <rPr>
            <sz val="9"/>
            <color indexed="81"/>
            <rFont val="Segoe UI"/>
            <family val="2"/>
          </rPr>
          <t>IDEM MEMÓRIA DE CÁLCULO REF 1º ANO, as alterações ocorrem conforme alteração da CCT da categoria, esta regra se aplica do item "B" ao "E".</t>
        </r>
      </text>
    </comment>
    <comment ref="I68" authorId="0" shapeId="0" xr:uid="{A36EA9C1-D06C-4E85-B7D3-06A27183340F}">
      <text>
        <r>
          <rPr>
            <b/>
            <sz val="9"/>
            <color indexed="81"/>
            <rFont val="Segoe UI"/>
            <family val="2"/>
          </rPr>
          <t>IDEM MEMÓRIA DE CÁLCULO REF 1º ANO.</t>
        </r>
      </text>
    </comment>
    <comment ref="I69" authorId="0" shapeId="0" xr:uid="{A8306287-DE62-49D9-B519-82E25674B781}">
      <text>
        <r>
          <rPr>
            <sz val="9"/>
            <color indexed="81"/>
            <rFont val="Segoe UI"/>
            <charset val="1"/>
          </rPr>
          <t>Este item somente ocorre a partir do 3º ANO com o provisionamento para o 4º, onde o cálculo é 11 postos para 1 SUBSTITUTO DE FÉRIAS.</t>
        </r>
      </text>
    </comment>
    <comment ref="I70" authorId="0" shapeId="0" xr:uid="{E27A73FC-B3E8-426C-B909-53B15FD7BC64}">
      <text>
        <r>
          <rPr>
            <sz val="9"/>
            <color indexed="81"/>
            <rFont val="Segoe UI"/>
            <family val="2"/>
          </rPr>
          <t xml:space="preserve">Em tese, durante o 2º ano de execução contratual se dará o gozo das férias adquiridas durante o 1º ano do contrato. Neste 2º ano cada SUBSTITUTO de férias cobre 12 postos de TITULARES. Ao fim de 12 meses do 2º ano de execução do contrato, o </t>
        </r>
        <r>
          <rPr>
            <b/>
            <sz val="9"/>
            <color indexed="81"/>
            <rFont val="Segoe UI"/>
            <family val="2"/>
          </rPr>
          <t>Substituto de férias terá direito a Alimentação de férias</t>
        </r>
        <r>
          <rPr>
            <sz val="9"/>
            <color indexed="81"/>
            <rFont val="Segoe UI"/>
            <family val="2"/>
          </rPr>
          <t>.
Assim, cada SUBSTITUTO férias no 2º ANO cobre 12 postos, estes 12 postos contribuem 12 meses para isso.
Então: (o nº de postos / pela quantidade de postos cobertos por cada SUBSTITUTO) = quantidade de substitutos (neste caso não precisa arredondar a quantidade por ser proporcional). = 46/12=3,8333
A quantidade de substitutos / 12 meses = fração de cada substituto no mês = 3,8333/12= 0,3194444
A fração de cada substituto no mês / pelo nº de postos= o percentual que cada posto deve repassar para que a Contratada possa arcar com este custo ao final do 2º ANO =0,319444/46= 0,006944*100=0,6944%</t>
        </r>
      </text>
    </comment>
    <comment ref="I71" authorId="0" shapeId="0" xr:uid="{7BA651F4-9100-4517-9704-5FFA65AC61DB}">
      <text>
        <r>
          <rPr>
            <sz val="9"/>
            <color indexed="81"/>
            <rFont val="Segoe UI"/>
            <charset val="1"/>
          </rPr>
          <t>Em tese, durante o 2º ano de execução contratual se dará o gozo das férias adquiridas durante o 1º ano do contrato. Neste 2º ano cada SUBSTITUTO de férias cobre 12 postos de TITULARES. 
Durante os meses em que o SUBSTITUTO estiver cobrindo as férias do TITULAR ele faz jus ao itens "H", "I" e "J".
Assim, cada SUBSTITUTO férias no 2º ANO cobre 12 postos, estes 12 postos contribuem mensalmente para que se realize o valor destes itens.
Então: (o nº de postos / pela quantidade de postos cobertos por cada SUBSTITUTO) = quantidade de substitutos (neste caso não precisa arredondar a quantidade por ser proporcional). = 46/12=3,8333
A quantidade de substitutos /  pelo nº de postos= o percentual que cada posto deve repassar para que a Contratada possa arcar com este custo mensalmente =3,8333/46= 0,083332*100=8,333%.
Esta regra se aplica aos 3 items.</t>
        </r>
      </text>
    </comment>
    <comment ref="I83" authorId="0" shapeId="0" xr:uid="{27F5A8E4-5A06-4FB7-BA4E-D6790438BE1E}">
      <text>
        <r>
          <rPr>
            <b/>
            <sz val="9"/>
            <color indexed="81"/>
            <rFont val="Segoe UI"/>
            <family val="2"/>
          </rPr>
          <t>Na Prorrogação será readequado para 0,281% que equivale a 3 dias além dos 30 dias por ano trabalhado.</t>
        </r>
      </text>
    </comment>
    <comment ref="H85" authorId="0" shapeId="0" xr:uid="{87DCB686-7767-4EEE-A121-EBAA67AE7E43}">
      <text>
        <r>
          <rPr>
            <b/>
            <sz val="9"/>
            <color indexed="81"/>
            <rFont val="Segoe UI"/>
            <family val="2"/>
          </rPr>
          <t>IDEM MEMÓRIA DE CÁLCULO REF 1º ANO</t>
        </r>
        <r>
          <rPr>
            <sz val="9"/>
            <color indexed="81"/>
            <rFont val="Segoe UI"/>
            <family val="2"/>
          </rPr>
          <t xml:space="preserve">.
</t>
        </r>
      </text>
    </comment>
    <comment ref="H86" authorId="2" shapeId="0" xr:uid="{9ADBBC0E-AFA4-4BF0-936C-E6BBC38DA115}">
      <text>
        <r>
          <rPr>
            <b/>
            <sz val="10"/>
            <color rgb="FF000000"/>
            <rFont val="Times New Roman"/>
            <family val="1"/>
          </rPr>
          <t>Na Prorrogação será readequado para 0,1944% que equivale a 3 dias além dos 30 dias por ano trabalhado.</t>
        </r>
      </text>
    </comment>
    <comment ref="H88" authorId="0" shapeId="0" xr:uid="{8B475C1A-7F9C-4D75-9144-051108C6B151}">
      <text>
        <r>
          <rPr>
            <b/>
            <sz val="9"/>
            <color indexed="81"/>
            <rFont val="Segoe UI"/>
            <family val="2"/>
          </rPr>
          <t>IDEM MEMÓRIA DE CÁLCULO REF 1º ANO.</t>
        </r>
      </text>
    </comment>
    <comment ref="H95" authorId="0" shapeId="0" xr:uid="{3D58E104-FCB8-4E31-97D2-544DA224EE6F}">
      <text>
        <r>
          <rPr>
            <b/>
            <sz val="9"/>
            <color indexed="81"/>
            <rFont val="Segoe UI"/>
            <family val="2"/>
          </rPr>
          <t>IDEM MEMÓRIA DE CÁLCULO REF 1º ANO.</t>
        </r>
      </text>
    </comment>
    <comment ref="H105" authorId="3" shapeId="0" xr:uid="{86105773-2DA5-4E54-A4F5-F3055F3030F1}">
      <text>
        <r>
          <rPr>
            <b/>
            <sz val="9"/>
            <color rgb="FF000000"/>
            <rFont val="Segoe UI"/>
            <family val="2"/>
          </rPr>
          <t>Dados Estatísticos Caderno Técnico Limpeza 2019 PR pág. 20</t>
        </r>
      </text>
    </comment>
    <comment ref="H106" authorId="3" shapeId="0" xr:uid="{DCB54F9B-E2C4-449A-A3F0-C0E12786E23D}">
      <text>
        <r>
          <rPr>
            <b/>
            <sz val="9"/>
            <color rgb="FF000000"/>
            <rFont val="Segoe UI"/>
            <family val="2"/>
          </rPr>
          <t>Dados Estatísticos Caderno Técnico Limpeza 2019 PR págima 20</t>
        </r>
      </text>
    </comment>
    <comment ref="H107" authorId="3" shapeId="0" xr:uid="{EE84B9F4-91B9-4663-A94D-D8F16497ED0F}">
      <text>
        <r>
          <rPr>
            <b/>
            <sz val="9"/>
            <color rgb="FF000000"/>
            <rFont val="Segoe UI"/>
            <family val="2"/>
          </rPr>
          <t>DDados Estatísticos Caderno Técnico Limpeza 2019 PR pág. 20</t>
        </r>
      </text>
    </comment>
    <comment ref="I120" authorId="3" shapeId="0" xr:uid="{89112F64-6A8F-4C3C-9304-CFF4E5BACA47}">
      <text>
        <r>
          <rPr>
            <sz val="9"/>
            <color rgb="FF000000"/>
            <rFont val="Segoe UI"/>
            <family val="2"/>
          </rPr>
          <t>Valor do uniforme se altera para menor devido a quantidade a partir do 2º ANO ser menor.</t>
        </r>
        <r>
          <rPr>
            <b/>
            <sz val="9"/>
            <color rgb="FF000000"/>
            <rFont val="Segoe UI"/>
            <family val="2"/>
          </rPr>
          <t xml:space="preserve"> ***O valor unitário pode alterar por correção por meio de índice previsto em contrato - IPCA</t>
        </r>
      </text>
    </comment>
    <comment ref="I121" authorId="3" shapeId="0" xr:uid="{B74A4268-A9D8-4502-913C-E348B11B8365}">
      <text>
        <r>
          <rPr>
            <b/>
            <sz val="9"/>
            <color rgb="FF000000"/>
            <rFont val="Segoe UI"/>
            <family val="2"/>
          </rPr>
          <t>Preencher na ABA DADOS BÁSICOS</t>
        </r>
      </text>
    </comment>
    <comment ref="I122" authorId="3" shapeId="0" xr:uid="{80533373-6FD9-4150-943D-DFBAD341C4FD}">
      <text>
        <r>
          <rPr>
            <b/>
            <sz val="9"/>
            <color rgb="FF000000"/>
            <rFont val="Segoe UI"/>
            <family val="2"/>
          </rPr>
          <t>IDEM MEMÓRIA DE CÁLCULO REF 1º ANO.</t>
        </r>
      </text>
    </comment>
    <comment ref="H123" authorId="0" shapeId="0" xr:uid="{FBB05BA9-9E0D-4038-A034-CC9484A7B731}">
      <text>
        <r>
          <rPr>
            <b/>
            <sz val="9"/>
            <color indexed="81"/>
            <rFont val="Segoe UI"/>
            <charset val="1"/>
          </rPr>
          <t>Marcio J. Ferro:</t>
        </r>
        <r>
          <rPr>
            <sz val="9"/>
            <color indexed="81"/>
            <rFont val="Segoe UI"/>
            <charset val="1"/>
          </rPr>
          <t xml:space="preserve">
quantidade </t>
        </r>
      </text>
    </comment>
    <comment ref="I123" authorId="3" shapeId="0" xr:uid="{F3CFE79B-DDD9-4D9C-BEE7-7943876DA181}">
      <text>
        <r>
          <rPr>
            <sz val="9"/>
            <color rgb="FF000000"/>
            <rFont val="Segoe UI"/>
            <family val="2"/>
          </rPr>
          <t xml:space="preserve">Em tese, durante o 2º ano de execução contratual se dará o gozo das férias adquiridas durante o 1º ano do contrato. </t>
        </r>
        <r>
          <rPr>
            <b/>
            <sz val="9"/>
            <color rgb="FF000000"/>
            <rFont val="Segoe UI"/>
            <family val="2"/>
          </rPr>
          <t>Neste 2º ano cada SUBSTITUTO de férias cobre 12 postos</t>
        </r>
        <r>
          <rPr>
            <sz val="9"/>
            <color rgb="FF000000"/>
            <rFont val="Segoe UI"/>
            <family val="2"/>
          </rPr>
          <t xml:space="preserve"> de TITULARES. 
Para o valor referente ao uniforme dos terceirizados que irão cobrir as férias adotou-se o uso de quantidades inteiras, dividindo-se o nº de postos / qtd de postos cobertos por CADA SUBSTITUTO = 46/12 = 3,833 - arredondado para cima a qtd de SUBSTITUTOS =4, assim, por exemplo 3,833 SUBSTITUTOS, para fins de uniforme é considerado 4 terceirizados. 
O percentual do custo do uniforme para cada posto, levando-se em conta que este custo deve ser dividido por todos os postos = 4/46 = 0,086956*100=</t>
        </r>
        <r>
          <rPr>
            <b/>
            <sz val="9"/>
            <color rgb="FF000000"/>
            <rFont val="Segoe UI"/>
            <family val="2"/>
          </rPr>
          <t>8,70%</t>
        </r>
      </text>
    </comment>
    <comment ref="I124" authorId="3" shapeId="0" xr:uid="{F1ED5509-9BF0-4BE4-8AA7-EA2A8D5A3469}">
      <text>
        <r>
          <rPr>
            <b/>
            <sz val="9"/>
            <color rgb="FF000000"/>
            <rFont val="Segoe UI"/>
            <family val="2"/>
          </rPr>
          <t>Preencher na ABA DADOS BÁSICOS</t>
        </r>
        <r>
          <rPr>
            <b/>
            <sz val="9"/>
            <color rgb="FF000000"/>
            <rFont val="Segoe UI"/>
            <family val="2"/>
          </rPr>
          <t xml:space="preserve">
</t>
        </r>
      </text>
    </comment>
    <comment ref="I125" authorId="3" shapeId="0" xr:uid="{D0CE15CC-6820-4A07-9307-C8A4FDF60067}">
      <text>
        <r>
          <rPr>
            <b/>
            <sz val="9"/>
            <color rgb="FF000000"/>
            <rFont val="Segoe UI"/>
            <family val="2"/>
          </rPr>
          <t>Preencher na ABA DADOS BÁSICOS</t>
        </r>
        <r>
          <rPr>
            <b/>
            <sz val="9"/>
            <color rgb="FF000000"/>
            <rFont val="Segoe UI"/>
            <family val="2"/>
          </rPr>
          <t xml:space="preserve">
</t>
        </r>
      </text>
    </comment>
    <comment ref="I126" authorId="3" shapeId="0" xr:uid="{4BCC9463-1880-48FF-8CC0-D6100930B195}">
      <text>
        <r>
          <rPr>
            <b/>
            <sz val="9"/>
            <color rgb="FF000000"/>
            <rFont val="Segoe UI"/>
            <family val="2"/>
          </rPr>
          <t>Preencher na ABA DADOS BÁSICOS</t>
        </r>
        <r>
          <rPr>
            <b/>
            <sz val="9"/>
            <color rgb="FF000000"/>
            <rFont val="Segoe UI"/>
            <family val="2"/>
          </rPr>
          <t xml:space="preserve">
</t>
        </r>
      </text>
    </comment>
    <comment ref="I127" authorId="3" shapeId="0" xr:uid="{4D5F156A-3E1E-496B-89B3-80E73FB443D0}">
      <text>
        <r>
          <rPr>
            <b/>
            <sz val="9"/>
            <color rgb="FF000000"/>
            <rFont val="Segoe UI"/>
            <family val="2"/>
          </rPr>
          <t>IDEM MEMÓRIA DE CÁLCULO REF 1º ANO.</t>
        </r>
      </text>
    </comment>
    <comment ref="I128" authorId="3" shapeId="0" xr:uid="{00DC9437-6EB6-4FEE-B0EB-A59C9C69E696}">
      <text>
        <r>
          <rPr>
            <b/>
            <sz val="9"/>
            <color rgb="FF000000"/>
            <rFont val="Segoe UI"/>
            <family val="2"/>
          </rPr>
          <t>Valor referente ao equipamento dos SUBSTITUTOS que irão cobrir as férias, como não há como fornecer parte de um equipamento adotou-se, para este quesito, dividir o nº de postos pela quantidade de postos que cada substituto pode cobrir no 2º ANO, arredondado para cima a qtd de SUBSTITUTOS ferista, assim,  46/12 = 3,833 - arredondado para cima a qtd de SUBSTITUTOS =4, assim, por exemplo 3,833 SUBSTITUTOS, para fins de uniforme é considerado 4 terceirizados. 
Como a quantidade de equipamentos é fixa por local e seu valor advém do rateio deste valor pelo nº de terceirizados alocados no contrato, o valor referente ao ferista (terceirizados não presentes no cálculo de quantidade de postos) será um valor negativo a diminuir do todo, pois está se incluindo quantidades ao divisor.
Para cálculo de equipamentos dos substituto de férias será considerado 4 terceirizados.
Custo do equipamento para cada posto, levando-se em conta que este custo deve ser dividido pelo total de postos em cada local e que os feristas somam ao divisor, ou seja, como se houvessem mais 4 postos.
cálculo do valor para equipamentos dos feristas = vlr mensal do equipamento / nº de postos no local (recepcionistas; telefonistas; recepcionista feristas; telefonista ferista) - vlr do equipamento rateado entre a qtd de postos para o local) - vlr mensal do equipamento.</t>
        </r>
      </text>
    </comment>
    <comment ref="B138" authorId="2" shapeId="0" xr:uid="{85DE3FA1-61CB-43A0-9B1B-A4605F715471}">
      <text>
        <r>
          <rPr>
            <sz val="10"/>
            <color rgb="FF000000"/>
            <rFont val="Times New Roman"/>
            <family val="1"/>
          </rPr>
          <t xml:space="preserve">BASE DE CÁLCULO DOS CUSTOS INDIRETOS  = (Soma dos Módulos 1, 2, 3, 4 e 5).  </t>
        </r>
        <r>
          <rPr>
            <b/>
            <sz val="10"/>
            <color rgb="FF000000"/>
            <rFont val="Times New Roman"/>
            <family val="1"/>
          </rPr>
          <t>Max 5% TCU Acórdão nº 1753/2008- Plenário</t>
        </r>
      </text>
    </comment>
    <comment ref="B139" authorId="2" shapeId="0" xr:uid="{71A0B47C-5B5C-43CD-8B01-25CC51D6D540}">
      <text>
        <r>
          <rPr>
            <sz val="10"/>
            <color rgb="FF000000"/>
            <rFont val="Times New Roman"/>
            <family val="1"/>
          </rPr>
          <t xml:space="preserve">BASE DE CÁLCULO DO LUCRO = (Soma dos Módulos 1, 2, 3, 4 e 5) + Custos Indiretos.  </t>
        </r>
        <r>
          <rPr>
            <b/>
            <sz val="10"/>
            <color rgb="FF000000"/>
            <rFont val="Times New Roman"/>
            <family val="1"/>
          </rPr>
          <t>Max 5% TCU Acórdão nº 1753/2008- Plenário</t>
        </r>
      </text>
    </comment>
    <comment ref="H140" authorId="1" shapeId="0" xr:uid="{4D5B1EEE-7F93-40D0-93E9-88365A103E7D}">
      <text>
        <r>
          <rPr>
            <sz val="10"/>
            <color rgb="FF000000"/>
            <rFont val="Times New Roman"/>
            <family val="1"/>
          </rPr>
          <t>IDEM MEMÓRIA DE CÁLCULO REF 1º ANO.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Marcio J. Ferro</author>
  </authors>
  <commentList>
    <comment ref="A4" authorId="0" shapeId="0" xr:uid="{7097E274-5709-4E06-94D1-56F723B5F26C}">
      <text>
        <r>
          <rPr>
            <b/>
            <sz val="9"/>
            <color indexed="81"/>
            <rFont val="Segoe UI"/>
            <charset val="1"/>
          </rPr>
          <t>Marcio J. Ferro:</t>
        </r>
        <r>
          <rPr>
            <sz val="9"/>
            <color indexed="81"/>
            <rFont val="Segoe UI"/>
            <charset val="1"/>
          </rPr>
          <t xml:space="preserve">
DATA DA PROPOSTA, TRAZ AUTOMATICAMENTE A DATA DO DIA, CASO QUEIRA ALTERAR É SÓ DIGITAR A DATA PRETENDIDA.</t>
        </r>
      </text>
    </comment>
    <comment ref="A7" authorId="0" shapeId="0" xr:uid="{6A272740-DF4D-48B4-8273-6A5203CE9E2F}">
      <text>
        <r>
          <rPr>
            <b/>
            <sz val="9"/>
            <color indexed="81"/>
            <rFont val="Segoe UI"/>
            <family val="2"/>
          </rPr>
          <t>Marcio J. Ferro:</t>
        </r>
        <r>
          <rPr>
            <sz val="9"/>
            <color indexed="81"/>
            <rFont val="Segoe UI"/>
            <family val="2"/>
          </rPr>
          <t xml:space="preserve">
LOCAL DE PRESTAÇÃO DOS SERVIÇOS</t>
        </r>
      </text>
    </comment>
    <comment ref="B7" authorId="0" shapeId="0" xr:uid="{E27D9CE0-CDD3-4435-93F4-2C6C3276C70C}">
      <text>
        <r>
          <rPr>
            <b/>
            <sz val="9"/>
            <color indexed="81"/>
            <rFont val="Segoe UI"/>
            <family val="2"/>
          </rPr>
          <t>Marcio J. Ferro:</t>
        </r>
        <r>
          <rPr>
            <sz val="9"/>
            <color indexed="81"/>
            <rFont val="Segoe UI"/>
            <family val="2"/>
          </rPr>
          <t xml:space="preserve">
QUANTIDADE DE POSTOS PREVISTOS PARA CADA LOCAL.</t>
        </r>
      </text>
    </comment>
    <comment ref="C7" authorId="0" shapeId="0" xr:uid="{85FE0DEB-FD36-4333-A32B-91EDFCF68677}">
      <text>
        <r>
          <rPr>
            <b/>
            <sz val="9"/>
            <color indexed="81"/>
            <rFont val="Segoe UI"/>
            <family val="2"/>
          </rPr>
          <t>Marcio J. Ferro:</t>
        </r>
        <r>
          <rPr>
            <sz val="9"/>
            <color indexed="81"/>
            <rFont val="Segoe UI"/>
            <family val="2"/>
          </rPr>
          <t xml:space="preserve">
POSTO DE TRABALHO</t>
        </r>
      </text>
    </comment>
    <comment ref="D7" authorId="0" shapeId="0" xr:uid="{ABAA5040-36CE-4217-8977-7D327E3715C6}">
      <text>
        <r>
          <rPr>
            <b/>
            <sz val="9"/>
            <color indexed="81"/>
            <rFont val="Segoe UI"/>
            <family val="2"/>
          </rPr>
          <t>Marcio J. Ferro:</t>
        </r>
        <r>
          <rPr>
            <sz val="9"/>
            <color indexed="81"/>
            <rFont val="Segoe UI"/>
            <family val="2"/>
          </rPr>
          <t xml:space="preserve">
DADOS DA CONVENÇÃO COLETIVA OU ACORDO COLETIVO.</t>
        </r>
      </text>
    </comment>
    <comment ref="E7" authorId="0" shapeId="0" xr:uid="{D8740BE0-F4EB-442F-AE5D-09792960C387}">
      <text>
        <r>
          <rPr>
            <b/>
            <sz val="9"/>
            <color indexed="81"/>
            <rFont val="Segoe UI"/>
            <family val="2"/>
          </rPr>
          <t>Marcio J. Ferro:</t>
        </r>
        <r>
          <rPr>
            <sz val="9"/>
            <color indexed="81"/>
            <rFont val="Segoe UI"/>
            <family val="2"/>
          </rPr>
          <t xml:space="preserve">
DATA BASE DA CONVENÇÃO COLETIVA.</t>
        </r>
      </text>
    </comment>
    <comment ref="F7" authorId="0" shapeId="0" xr:uid="{D640BA60-51CC-43FC-9F22-425122A38774}">
      <text>
        <r>
          <rPr>
            <sz val="9"/>
            <color indexed="81"/>
            <rFont val="Segoe UI"/>
            <family val="2"/>
          </rPr>
          <t>O SINDICATO UTILIZADO NA ELABORAÇÃO DA PLANILHA DE FORMAÇÃO DE CUSTOS PELA ADMINISTRAÇÃO FOI O "SIEMACO/PR", POIS, HISTORICAMENTE AS EMPRESAS QUE PRESTARAM OS SERVIÇOS OBJETO DESTA LICITAÇÃO AO LONGO DE 20 ANOS O UTILIZARAM, SENDO SEUS SALÁRIOS E BENEFÍCIOS CAPAZ DE MANTER MÃO DE OBRA QUALIFICADA JUNTO AOS CONTRATOS.</t>
        </r>
        <r>
          <rPr>
            <b/>
            <sz val="9"/>
            <color indexed="81"/>
            <rFont val="Segoe UI"/>
            <charset val="1"/>
          </rPr>
          <t xml:space="preserve">
</t>
        </r>
        <r>
          <rPr>
            <sz val="9"/>
            <color indexed="81"/>
            <rFont val="Segoe UI"/>
            <family val="2"/>
          </rPr>
          <t>PODERÁ SER UTILIZADO OUTROS SINDICATOS NA FORMAÇÃO DOS CUSTOS DESDE QUE LEGALMENTE TENHA REPRESENTIVIDADE DA CATEGORIA E ABRANGÊNCIA.</t>
        </r>
      </text>
    </comment>
    <comment ref="G7" authorId="0" shapeId="0" xr:uid="{9059EAA3-310D-4E55-9FE9-84442735859E}">
      <text>
        <r>
          <rPr>
            <b/>
            <sz val="9"/>
            <color indexed="81"/>
            <rFont val="Segoe UI"/>
            <family val="2"/>
          </rPr>
          <t>Marcio J. Ferro:</t>
        </r>
        <r>
          <rPr>
            <sz val="9"/>
            <color indexed="81"/>
            <rFont val="Segoe UI"/>
            <family val="2"/>
          </rPr>
          <t xml:space="preserve">
CARGA HORÁRIA MENSAL BASE DA CONVENÇÃO COLETIVA.</t>
        </r>
      </text>
    </comment>
    <comment ref="H7" authorId="0" shapeId="0" xr:uid="{8A057AA7-AEF0-42B8-BC71-5713985761B9}">
      <text>
        <r>
          <rPr>
            <b/>
            <sz val="9"/>
            <color indexed="81"/>
            <rFont val="Segoe UI"/>
            <family val="2"/>
          </rPr>
          <t>Marcio J. Ferro:</t>
        </r>
        <r>
          <rPr>
            <sz val="9"/>
            <color indexed="81"/>
            <rFont val="Segoe UI"/>
            <family val="2"/>
          </rPr>
          <t xml:space="preserve">
Salário integral conforme convenção coletiva, normalmente para jornada de 220 horas/mês (Recepcionista) e de 180 horas/mês (Telefonista).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I7" authorId="0" shapeId="0" xr:uid="{14EF25AA-E926-4823-9E94-B83B1EE5D8DC}">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J7" authorId="0" shapeId="0" xr:uid="{2D96D48F-E858-4132-931F-7A12F4664E96}">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K7" authorId="0" shapeId="0" xr:uid="{94D54EDF-00BD-46DE-8891-F5FA6DE45146}">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L7" authorId="0" shapeId="0" xr:uid="{D6E652F9-5F2C-4090-ABDE-E459C8D41976}">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M7" authorId="0" shapeId="0" xr:uid="{ACA6A4F3-61F7-4012-A390-706F9E8CC7C3}">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N7" authorId="0" shapeId="0" xr:uid="{6BD6879C-80DF-45CE-B6BC-463EE038802B}">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Q7" authorId="0" shapeId="0" xr:uid="{4D2AB864-4BCF-47FD-93C3-D370055B2729}">
      <text>
        <r>
          <rPr>
            <b/>
            <sz val="9"/>
            <color indexed="81"/>
            <rFont val="Segoe UI"/>
            <family val="2"/>
          </rPr>
          <t>Marcio J. Ferro:</t>
        </r>
        <r>
          <rPr>
            <sz val="9"/>
            <color indexed="81"/>
            <rFont val="Segoe UI"/>
            <family val="2"/>
          </rPr>
          <t xml:space="preserve">
Considerando que 33,71% NÃO cumprem aviso prévio (variável)= dado estatítico do caderno técnico de limpeza para o Paraná pag. 16.
ESTE DADO ESTATÍSTICO PODE SER ALTERADO PELO LICITANTE CONFORME FOR O SEU ENTENDIMENTO.</t>
        </r>
      </text>
    </comment>
    <comment ref="R7" authorId="0" shapeId="0" xr:uid="{E43DDD35-EC53-4ECE-AB1A-D2374F6FF2E0}">
      <text>
        <r>
          <rPr>
            <b/>
            <sz val="9"/>
            <color indexed="81"/>
            <rFont val="Segoe UI"/>
            <family val="2"/>
          </rPr>
          <t>Marcio J. Ferro:</t>
        </r>
        <r>
          <rPr>
            <sz val="9"/>
            <color indexed="81"/>
            <rFont val="Segoe UI"/>
            <family val="2"/>
          </rPr>
          <t xml:space="preserve">
Considerando que 33,71%  CUMPREM o aviso prévio (variável)= dado estatítico do caderno técnico de limpeza para o Paraná pag. 16
ESTE DADO ESTATÍSTICO PODE SER ALTERADO PELO LICITANTE CONFORME FOR O SEU ENTENDIMENTO.</t>
        </r>
      </text>
    </comment>
    <comment ref="S7" authorId="0" shapeId="0" xr:uid="{1BC8C705-42FB-4EC8-8136-5C96425A43B7}">
      <text>
        <r>
          <rPr>
            <b/>
            <sz val="9"/>
            <color indexed="81"/>
            <rFont val="Segoe UI"/>
            <family val="2"/>
          </rPr>
          <t>Marcio J. Ferro:</t>
        </r>
        <r>
          <rPr>
            <sz val="9"/>
            <color indexed="81"/>
            <rFont val="Segoe UI"/>
            <family val="2"/>
          </rPr>
          <t xml:space="preserve">
BASE DE CÁLCULO DOS CUSTOS INDIRETOS  = (Soma dos Módulos 1, 2, 3, 4 e 5).  Max 5% TCU Acórdão nº 1753/2008- Plenário</t>
        </r>
      </text>
    </comment>
    <comment ref="T7" authorId="0" shapeId="0" xr:uid="{3A2D5F34-EF6B-4A14-A143-9BE76E6F5232}">
      <text>
        <r>
          <rPr>
            <b/>
            <sz val="9"/>
            <color indexed="81"/>
            <rFont val="Segoe UI"/>
            <family val="2"/>
          </rPr>
          <t>Marcio J. Ferro:</t>
        </r>
        <r>
          <rPr>
            <sz val="9"/>
            <color indexed="81"/>
            <rFont val="Segoe UI"/>
            <family val="2"/>
          </rPr>
          <t xml:space="preserve">
BASE DE CÁLCULO DO LUCRO = (Soma dos Módulos 1, 2, 3, 4 e 5) + Custos Indiretos.  Max 5% TCU Acórdão nº 1753/2008- Plenário</t>
        </r>
      </text>
    </comment>
    <comment ref="U7" authorId="0" shapeId="0" xr:uid="{9598ED37-53F8-4EBB-BC51-1422C64F410C}">
      <text>
        <r>
          <rPr>
            <b/>
            <sz val="9"/>
            <color indexed="81"/>
            <rFont val="Segoe UI"/>
            <family val="2"/>
          </rPr>
          <t>Marcio J. Ferro:</t>
        </r>
        <r>
          <rPr>
            <sz val="9"/>
            <color indexed="81"/>
            <rFont val="Segoe UI"/>
            <family val="2"/>
          </rPr>
          <t xml:space="preserve">
ISS CONFORME OS LOCAIS DE PRESTAÇÃO DE SERVIÇOS.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Janayra Saraiva Lopes</author>
  </authors>
  <commentList>
    <comment ref="B138" authorId="0" shapeId="0" xr:uid="{BC72A79F-3FCC-476F-B6DC-BB2A817E1BFF}">
      <text>
        <r>
          <rPr>
            <sz val="10"/>
            <color rgb="FF000000"/>
            <rFont val="Times New Roman"/>
            <family val="1"/>
          </rPr>
          <t xml:space="preserve">BASE DE CÁLCULO DOS CUSTOS INDIRETOS  = (Soma dos Módulos 1, 2, 3, 4 e 5).  </t>
        </r>
        <r>
          <rPr>
            <b/>
            <sz val="10"/>
            <color rgb="FF000000"/>
            <rFont val="Times New Roman"/>
            <family val="1"/>
          </rPr>
          <t>Max 5% TCU Acórdão nº 1753/2008- Plenário</t>
        </r>
      </text>
    </comment>
    <comment ref="B139" authorId="0" shapeId="0" xr:uid="{3871B484-9AB6-4EB0-80DF-ED6609A9B379}">
      <text>
        <r>
          <rPr>
            <sz val="10"/>
            <color rgb="FF000000"/>
            <rFont val="Times New Roman"/>
            <family val="1"/>
          </rPr>
          <t xml:space="preserve">BASE DE CÁLCULO DO LUCRO = (Soma dos Módulos 1, 2, 3, 4 e 5) + Custos Indiretos.  </t>
        </r>
        <r>
          <rPr>
            <b/>
            <sz val="10"/>
            <color rgb="FF000000"/>
            <rFont val="Times New Roman"/>
            <family val="1"/>
          </rPr>
          <t>Max 5% TCU Acórdão nº 1753/2008- Plenário</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Janayra Saraiva Lopes</author>
    <author>Rossicléia Ferreira Campos</author>
  </authors>
  <commentList>
    <comment ref="B138" authorId="0" shapeId="0" xr:uid="{ED6A538C-C001-42FF-950E-7975A80A77E3}">
      <text>
        <r>
          <rPr>
            <sz val="10"/>
            <color rgb="FF000000"/>
            <rFont val="Times New Roman"/>
            <family val="1"/>
          </rPr>
          <t xml:space="preserve">BASE DE CÁLCULO DOS CUSTOS INDIRETOS  = (Soma dos Módulos 1, 2, 3, 4 e 5).  </t>
        </r>
        <r>
          <rPr>
            <b/>
            <sz val="10"/>
            <color rgb="FF000000"/>
            <rFont val="Times New Roman"/>
            <family val="1"/>
          </rPr>
          <t>Max 5% TCU Acórdão nº 1753/2008- Plenário</t>
        </r>
      </text>
    </comment>
    <comment ref="B139" authorId="0" shapeId="0" xr:uid="{0036EA1B-219A-4F2D-B73F-1E3C1BE32792}">
      <text>
        <r>
          <rPr>
            <sz val="10"/>
            <color rgb="FF000000"/>
            <rFont val="Times New Roman"/>
            <family val="1"/>
          </rPr>
          <t xml:space="preserve">BASE DE CÁLCULO DO LUCRO = (Soma dos Módulos 1, 2, 3, 4 e 5) + Custos Indiretos.  </t>
        </r>
        <r>
          <rPr>
            <b/>
            <sz val="10"/>
            <color rgb="FF000000"/>
            <rFont val="Times New Roman"/>
            <family val="1"/>
          </rPr>
          <t>Max 5% TCU Acórdão nº 1753/2008- Plenário</t>
        </r>
      </text>
    </comment>
    <comment ref="H140" authorId="1" shapeId="0" xr:uid="{93DA86B4-0552-4617-BA90-DAA91099D207}">
      <text>
        <r>
          <rPr>
            <sz val="10"/>
            <color rgb="FF000000"/>
            <rFont val="Times New Roman"/>
            <family val="1"/>
          </rPr>
          <t xml:space="preserve">Os tributos são calculados sobre o FATURAMENTO. </t>
        </r>
        <r>
          <rPr>
            <sz val="10"/>
            <color rgb="FF000000"/>
            <rFont val="Times New Roman"/>
            <family val="1"/>
          </rPr>
          <t xml:space="preserve">
</t>
        </r>
        <r>
          <rPr>
            <sz val="10"/>
            <color rgb="FF000000"/>
            <rFont val="Times New Roman"/>
            <family val="1"/>
          </rPr>
          <t xml:space="preserve">
Somam-se os tributos (por ex.: PIS, COFINS e ISS = 8,65) subtrai-se de 100 obtendo-se 9,135/100 = 0,9135, que representa os tributos a serem pagos sem que o faturamento seja alterado. </t>
        </r>
        <r>
          <rPr>
            <sz val="10"/>
            <color rgb="FF000000"/>
            <rFont val="Times New Roman"/>
            <family val="1"/>
          </rPr>
          <t xml:space="preserve">
</t>
        </r>
        <r>
          <rPr>
            <sz val="10"/>
            <color rgb="FF000000"/>
            <rFont val="Times New Roman"/>
            <family val="1"/>
          </rPr>
          <t xml:space="preserve">
Trata-se de fórmula circular denominada "</t>
        </r>
        <r>
          <rPr>
            <b/>
            <sz val="10"/>
            <color rgb="FF000000"/>
            <rFont val="Times New Roman"/>
            <family val="1"/>
          </rPr>
          <t>CÁLCULO POR DENTRO</t>
        </r>
        <r>
          <rPr>
            <sz val="10"/>
            <color rgb="FF000000"/>
            <rFont val="Times New Roman"/>
            <family val="1"/>
          </rPr>
          <t xml:space="preserve">" </t>
        </r>
        <r>
          <rPr>
            <sz val="10"/>
            <color rgb="FF000000"/>
            <rFont val="Times New Roman"/>
            <family val="1"/>
          </rPr>
          <t xml:space="preserve">
</t>
        </r>
        <r>
          <rPr>
            <sz val="10"/>
            <color rgb="FF000000"/>
            <rFont val="Times New Roman"/>
            <family val="1"/>
          </rPr>
          <t xml:space="preserve">
</t>
        </r>
        <r>
          <rPr>
            <b/>
            <sz val="10"/>
            <color rgb="FF000000"/>
            <rFont val="Times New Roman"/>
            <family val="1"/>
          </rPr>
          <t>FÓRMULA:</t>
        </r>
        <r>
          <rPr>
            <sz val="10"/>
            <color rgb="FF000000"/>
            <rFont val="Times New Roman"/>
            <family val="1"/>
          </rPr>
          <t xml:space="preserve"> 100-8,65/100 = 0,935</t>
        </r>
        <r>
          <rPr>
            <sz val="10"/>
            <color rgb="FF000000"/>
            <rFont val="Times New Roman"/>
            <family val="1"/>
          </rPr>
          <t xml:space="preserve">
</t>
        </r>
        <r>
          <rPr>
            <b/>
            <sz val="10"/>
            <color rgb="FF000000"/>
            <rFont val="Times New Roman"/>
            <family val="1"/>
          </rPr>
          <t>0,935 / FATURAMENTO =</t>
        </r>
        <r>
          <rPr>
            <sz val="10"/>
            <color rgb="FF000000"/>
            <rFont val="Times New Roman"/>
            <family val="1"/>
          </rPr>
          <t xml:space="preserve"> VALOR SOBRE O QUAL SERÁ CALCULADO O PIS, A COFINS E O ISS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Marcio J. Ferro</author>
    <author>Rossicléia Ferreira Campos</author>
    <author>Janayra Saraiva Lopes</author>
    <author>Silvino Schlickmann Junior</author>
  </authors>
  <commentList>
    <comment ref="H17" authorId="0" shapeId="0" xr:uid="{CDF6B759-76E7-43E2-A8DD-186288BFF3F9}">
      <text>
        <r>
          <rPr>
            <sz val="9"/>
            <color indexed="81"/>
            <rFont val="Segoe UI"/>
            <family val="2"/>
          </rPr>
          <t>IDEM MEMÓRIA DE CÁLCULO REF 1º ANO / ***ESTE VALOR SERÁ ALTERADO QUANDO HOUVER REEQUILÍBRIO POR FORÇA DE NOVA CONVENÇÃO COLETIVA DA CATEGORIA.</t>
        </r>
      </text>
    </comment>
    <comment ref="I23" authorId="0" shapeId="0" xr:uid="{5CEAB6BC-3B76-4CF0-B50F-92EB43469620}">
      <text>
        <r>
          <rPr>
            <sz val="9"/>
            <color indexed="81"/>
            <rFont val="Segoe UI"/>
            <family val="2"/>
          </rPr>
          <t>IDEM MEMÓRIA DE CÁLCULO REF 1º ANO / ***ESTE VALOR SERÁ ALTERADO QUANDO HOUVER REEQUILÍBRIO POR FORÇA DE NOVA CONVENÇÃO COLETIVA DA CATEGORIA.</t>
        </r>
      </text>
    </comment>
    <comment ref="I24" authorId="0" shapeId="0" xr:uid="{56CA749D-9A3C-46BB-962F-FE1A4D03F0FA}">
      <text>
        <r>
          <rPr>
            <sz val="9"/>
            <color indexed="81"/>
            <rFont val="Segoe UI"/>
            <family val="2"/>
          </rPr>
          <t>I</t>
        </r>
        <r>
          <rPr>
            <b/>
            <sz val="9"/>
            <color indexed="81"/>
            <rFont val="Segoe UI"/>
            <family val="2"/>
          </rPr>
          <t>DEM MEMÓRIA DE CÁLCULO REF 1º ANO.</t>
        </r>
      </text>
    </comment>
    <comment ref="I28" authorId="0" shapeId="0" xr:uid="{ECA43AD3-03CA-4430-9DCE-9F528D9E19C7}">
      <text>
        <r>
          <rPr>
            <sz val="9"/>
            <color indexed="81"/>
            <rFont val="Segoe UI"/>
            <family val="2"/>
          </rPr>
          <t>IDEM MEMÓRIA DE CÁLCULO REF 1º ANO / ***ESTE VALOR SERÁ ALTERADO QUANDO HOUVER REEQUILÍBRIO POR FORÇA DE NOVA CONVENÇÃO COLETIVA DA CATEGORIA.</t>
        </r>
      </text>
    </comment>
    <comment ref="H32" authorId="1" shapeId="0" xr:uid="{E712707B-BDC0-4FBC-A263-DBDB5F565EA7}">
      <text>
        <r>
          <rPr>
            <b/>
            <sz val="10"/>
            <color rgb="FF000000"/>
            <rFont val="Times New Roman"/>
            <family val="1"/>
          </rPr>
          <t xml:space="preserve"> </t>
        </r>
        <r>
          <rPr>
            <sz val="10"/>
            <color rgb="FF000000"/>
            <rFont val="Times New Roman"/>
            <family val="1"/>
          </rPr>
          <t>1/12meses = 0,0833=8,33%;</t>
        </r>
        <r>
          <rPr>
            <sz val="10"/>
            <color rgb="FF000000"/>
            <rFont val="Times New Roman"/>
            <family val="1"/>
          </rPr>
          <t xml:space="preserve">
Cotação de  8,33% sobre o valor do Módulo 1 - Composição da remuneração, conforme Anexo XII da IN 5/17</t>
        </r>
      </text>
    </comment>
    <comment ref="H33" authorId="2" shapeId="0" xr:uid="{32DB317D-B0D9-4874-923F-1881672101C5}">
      <text>
        <r>
          <rPr>
            <sz val="9"/>
            <color rgb="FF000000"/>
            <rFont val="Tahoma"/>
            <family val="2"/>
          </rPr>
          <t xml:space="preserve">Cotação de Férias e Adicional de Férias do profissional titular, </t>
        </r>
        <r>
          <rPr>
            <sz val="9"/>
            <color rgb="FF000000"/>
            <rFont val="Tahoma"/>
            <family val="2"/>
          </rPr>
          <t xml:space="preserve">
conforme item 14 do ANEXO XII da IN 5/17. </t>
        </r>
        <r>
          <rPr>
            <b/>
            <i/>
            <u/>
            <sz val="9"/>
            <color rgb="FF000000"/>
            <rFont val="Tahoma"/>
            <family val="2"/>
          </rPr>
          <t xml:space="preserve">
</t>
        </r>
        <r>
          <rPr>
            <sz val="9"/>
            <color rgb="FF000000"/>
            <rFont val="Tahoma"/>
            <family val="2"/>
          </rPr>
          <t xml:space="preserve">Estamos tratando aqui das férias e 1/3 adicional de férias do empregado titular. </t>
        </r>
        <r>
          <rPr>
            <b/>
            <u/>
            <sz val="9"/>
            <color rgb="FF000000"/>
            <rFont val="Tahoma"/>
            <family val="2"/>
          </rPr>
          <t>Não confundir com a provisão do empregado substituto na cobertura de férias.</t>
        </r>
        <r>
          <rPr>
            <sz val="9"/>
            <color rgb="FF000000"/>
            <rFont val="Tahoma"/>
            <family val="2"/>
          </rPr>
          <t xml:space="preserve"> Como a alíquota de 12,1% é obtida pela soma das férias de 9,025% e do adicional de férias de 3,025%, sendo que o valor de férias ocorre somente no primeiro ano de contrato, assim, em caso de prorrogação contratual este quesito será reduzido a alíquota de 3,025%.</t>
        </r>
      </text>
    </comment>
    <comment ref="I35" authorId="0" shapeId="0" xr:uid="{A91FC6D8-A9CC-43D4-B3D9-5043D8005FE3}">
      <text>
        <r>
          <rPr>
            <sz val="9"/>
            <color indexed="81"/>
            <rFont val="Segoe UI"/>
            <family val="2"/>
          </rPr>
          <t>No 2º ANO houve a provisão deste item para ser pago no 3º ANO de execução contratual, na proporção de 12 para 1, ou seja, cada 12 postos para cada substituto por 12meses provisionando 12 salários deste substituto, ou caso não haja prorrogação contratual indenização do TITULAR.
Ocorre que neste 3º ANO cada SUBSTITUTO cobre 11 postos, pois, em tese, o SUBSTITUTO trabalhou 12 meses no 2º ANO e também irá tirar férias no 3º ANO, assim, cada substituto trabalhará 11 meses para cobrir postos, assim, estes 11 postos, por 12 meses terão que arcar com o custo para o 4º ANO de contrato conforme a ocorrência ou não de prorrogação contratual.
Desta forma, este item continua a ser uma provisão para custear a remuneração do SUBSTITUTO na cobertura de férias ou, se não houver prorrogação, para a indenização proporcional do TITULAR.</t>
        </r>
      </text>
    </comment>
    <comment ref="I36" authorId="0" shapeId="0" xr:uid="{C3F92167-3CB9-4821-833B-F21BFC8BECE3}">
      <text>
        <r>
          <rPr>
            <sz val="9"/>
            <color indexed="81"/>
            <rFont val="Segoe UI"/>
            <charset val="1"/>
          </rPr>
          <t>Este item é complemento, devido que neste 3º ANO cada substituto trabalhará 11 meses para cobrir postos, assim, estes 11 postos, por 12 meses terão que arcar com o custo para o 4º ANO de contrato conforme a ocorrência ou não de prorrogação contratual.
Em</t>
        </r>
        <r>
          <rPr>
            <b/>
            <sz val="9"/>
            <color indexed="81"/>
            <rFont val="Segoe UI"/>
            <family val="2"/>
          </rPr>
          <t xml:space="preserve"> NÃO havendo</t>
        </r>
        <r>
          <rPr>
            <sz val="9"/>
            <color indexed="81"/>
            <rFont val="Segoe UI"/>
            <charset val="1"/>
          </rPr>
          <t xml:space="preserve"> prorrogação contratual para o 4º ANO o valor deste item </t>
        </r>
        <r>
          <rPr>
            <b/>
            <i/>
            <u/>
            <sz val="9"/>
            <color indexed="81"/>
            <rFont val="Segoe UI"/>
            <family val="2"/>
          </rPr>
          <t>deverá ser devolvido</t>
        </r>
        <r>
          <rPr>
            <sz val="9"/>
            <color indexed="81"/>
            <rFont val="Segoe UI"/>
            <charset val="1"/>
          </rPr>
          <t xml:space="preserve">, haja vista </t>
        </r>
        <r>
          <rPr>
            <b/>
            <sz val="9"/>
            <color indexed="81"/>
            <rFont val="Segoe UI"/>
            <family val="2"/>
          </rPr>
          <t>não ser para custeio do TITULAR</t>
        </r>
        <r>
          <rPr>
            <sz val="9"/>
            <color indexed="81"/>
            <rFont val="Segoe UI"/>
            <charset val="1"/>
          </rPr>
          <t>.</t>
        </r>
      </text>
    </comment>
    <comment ref="I37" authorId="0" shapeId="0" xr:uid="{5A694CAD-8D82-4676-AD3E-CD0F7DB655D0}">
      <text>
        <r>
          <rPr>
            <sz val="9"/>
            <color indexed="81"/>
            <rFont val="Segoe UI"/>
            <family val="2"/>
          </rPr>
          <t>Em tese, durante o 3º ano de execução contratual se dará o gozo das férias adquiridas durante o 2º ano do contrato.
Neste 3º ano cada SUBSTITUTO de férias cobre 11 postos de TITULARES.
Ao fim de 12 meses do 3º ano de execução do contrato, o Substituto de férias terá direito a</t>
        </r>
        <r>
          <rPr>
            <b/>
            <sz val="9"/>
            <color indexed="81"/>
            <rFont val="Segoe UI"/>
            <family val="2"/>
          </rPr>
          <t xml:space="preserve"> férias e 13º salário também, bem como 1/3 de adicional de férias</t>
        </r>
        <r>
          <rPr>
            <sz val="9"/>
            <color indexed="81"/>
            <rFont val="Segoe UI"/>
            <family val="2"/>
          </rPr>
          <t>.
Assim, cada SUBSTITUTO férias no 3º ANO cobre 11 postos, estes 11 postos contribuem 12 meses para isso.
Então: (o nº de postos / pela quantidade de postos cobertos por cada SUBSTITUTO) = quantidade de substitutos (neste caso não precisa arredondar a quantidade por ser proporcional). = 46/11= 4,18
A quantidade de substitutos / 12 meses = fração de cada substituto no mês = 4,18 / 12 = 0,35
A fração de cada substituto no mês / pelo nº de postos= o percentual que cada posto deve repassar para que a Contratada possa arcar com este custo ao final do 3º ANO =0,35/46= 0,0076087*100=0,7608%
Esta regra é aplicada à férias proporcionais e ao 13º salário, o adicional de férias é = 0,7608%/3=0,25%</t>
        </r>
      </text>
    </comment>
    <comment ref="H48" authorId="1" shapeId="0" xr:uid="{01B948CF-5E7F-49BA-AF09-DA9C50844B37}">
      <text>
        <r>
          <rPr>
            <sz val="10"/>
            <color rgb="FF000000"/>
            <rFont val="Times New Roman"/>
            <family val="1"/>
          </rPr>
          <t xml:space="preserve">IDEM MEMÓRIA DE CÁLCULO REF 1º ANO - </t>
        </r>
        <r>
          <rPr>
            <b/>
            <i/>
            <u/>
            <sz val="10"/>
            <color rgb="FF000000"/>
            <rFont val="Times New Roman"/>
            <family val="1"/>
          </rPr>
          <t>*** verificar se o FAP alterou em relação a época da licitação e aplicar o novo FAP, se for o caso.</t>
        </r>
      </text>
    </comment>
    <comment ref="I57" authorId="0" shapeId="0" xr:uid="{46C3D4F1-99D4-4B56-A804-136F82C7F836}">
      <text>
        <r>
          <rPr>
            <b/>
            <sz val="9"/>
            <color rgb="FF000000"/>
            <rFont val="Segoe UI"/>
            <family val="2"/>
          </rPr>
          <t>AUXILIO TRANSPORTE:</t>
        </r>
        <r>
          <rPr>
            <sz val="9"/>
            <color rgb="FF000000"/>
            <rFont val="Segoe UI"/>
            <family val="2"/>
          </rPr>
          <t xml:space="preserve">
“Art. 10. O valor da parcela a ser suportada pelo beneficiário será descontada proporcionalmente à quantidade de Vale-Transporte concedida para o período a que se refere o salário ou vencimento e por ocasião de seu pagamento, salvo estipulação em contrário, em convenção ou acordo coletivo de trabalho, que favoreça o beneficiário. ”</t>
        </r>
        <r>
          <rPr>
            <sz val="9"/>
            <color rgb="FF000000"/>
            <rFont val="Segoe UI"/>
            <family val="2"/>
          </rPr>
          <t xml:space="preserve">
Desconto: quando não previsto na CCT será de 6%.</t>
        </r>
        <r>
          <rPr>
            <sz val="9"/>
            <color rgb="FF000000"/>
            <rFont val="Segoe UI"/>
            <family val="2"/>
          </rPr>
          <t xml:space="preserve">
Valor do desconto: calculado a partir da incidência de 6% sobre a parcela do salário base aplicado</t>
        </r>
        <r>
          <rPr>
            <sz val="9"/>
            <color rgb="FF000000"/>
            <rFont val="Segoe UI"/>
            <family val="2"/>
          </rPr>
          <t xml:space="preserve">
à proporcionalidade do mês afetada.</t>
        </r>
        <r>
          <rPr>
            <sz val="9"/>
            <color rgb="FF000000"/>
            <rFont val="Segoe UI"/>
            <family val="2"/>
          </rPr>
          <t xml:space="preserve">
Exemplo: Base de Cálculo x Proporcionalidade x Desconto = Valor do desconto</t>
        </r>
      </text>
    </comment>
    <comment ref="H58" authorId="0" shapeId="0" xr:uid="{B14B9606-EE0E-4AB8-9AC1-7F2BBE0F4012}">
      <text>
        <r>
          <rPr>
            <sz val="9"/>
            <color indexed="81"/>
            <rFont val="Segoe UI"/>
            <family val="2"/>
          </rPr>
          <t>IDEM MEMÓRIA DE CÁLCULO REF 1º ANO, pode ser alterado em caso de aumento da tarifa de transporte, porém, esta alteração se dá de forma proporcional caso a licitante não tenha utilizado o valor idêntico ao da tarifa.</t>
        </r>
      </text>
    </comment>
    <comment ref="H62" authorId="0" shapeId="0" xr:uid="{ACF574A1-ED63-4FD7-B6F6-C863B031CBE9}">
      <text>
        <r>
          <rPr>
            <sz val="9"/>
            <color indexed="81"/>
            <rFont val="Segoe UI"/>
            <family val="2"/>
          </rPr>
          <t>IDEM MEMÓRIA DE CÁLCULO REF 1º ANO, as alterações ocorrem conforme alteração da CCT da categoria, esta regra se aplica do item "B" ao "E".</t>
        </r>
      </text>
    </comment>
    <comment ref="I68" authorId="0" shapeId="0" xr:uid="{09741BA4-452F-4C9B-B688-CE37B0FDBC09}">
      <text>
        <r>
          <rPr>
            <sz val="9"/>
            <color indexed="81"/>
            <rFont val="Segoe UI"/>
            <family val="2"/>
          </rPr>
          <t>No 2º ANO houve a provisão deste item para ser pago no 3º ANO de execução contratual, na proporção de 12 para 1, ou seja, cada 12 postos para cada substituto por 12 meses provisionando 12 alimentações deste substituto, ou caso não haja prorrogação contratual indenização do TITULAR.
Ocorre que neste 3º ANO cada SUBSTITUTO cobre 11 postos, pois, em tese, o SUBSTITUTO trabalhou 12 meses no 2º ANO e também irá tirar férias no 3º ANO, assim, cada substituto trabalhará 11 meses para cobrir postos, assim, estes 11 postos, por 12 meses terão que arcar com o custo para o 4º ANO de contrato conforme a ocorrência ou não de prorrogação contratual.
Desta forma, este item continua a ser uma provisão para custear a remuneração do SUBSTITUTO na cobertura de férias ou, se não houver prorrogação, para a indenização proporcional do TITULAR.</t>
        </r>
      </text>
    </comment>
    <comment ref="I69" authorId="0" shapeId="0" xr:uid="{420AD37B-BDB3-40C3-9630-37DB9374C716}">
      <text>
        <r>
          <rPr>
            <sz val="9"/>
            <color indexed="81"/>
            <rFont val="Segoe UI"/>
            <charset val="1"/>
          </rPr>
          <t xml:space="preserve">Este item é complemento do item "F", devido que neste 3º ANO cada substituto trabalhará 11 meses para cobrir postos, assim, estes 11 postos, por 12 meses terão que arcar com o custo para o 4º ANO de contrato conforme a ocorrência ou não de prorrogação contratual.
Em </t>
        </r>
        <r>
          <rPr>
            <b/>
            <sz val="9"/>
            <color indexed="81"/>
            <rFont val="Segoe UI"/>
            <family val="2"/>
          </rPr>
          <t xml:space="preserve">NÃO </t>
        </r>
        <r>
          <rPr>
            <sz val="9"/>
            <color indexed="81"/>
            <rFont val="Segoe UI"/>
            <charset val="1"/>
          </rPr>
          <t xml:space="preserve">havendo prorrogação contratual para o 4º ANO o valor deste item </t>
        </r>
        <r>
          <rPr>
            <b/>
            <sz val="9"/>
            <color indexed="81"/>
            <rFont val="Segoe UI"/>
            <family val="2"/>
          </rPr>
          <t>deverá ser devolvido</t>
        </r>
        <r>
          <rPr>
            <sz val="9"/>
            <color indexed="81"/>
            <rFont val="Segoe UI"/>
            <charset val="1"/>
          </rPr>
          <t>, haja vista não ser para custeio do TITULAR.</t>
        </r>
      </text>
    </comment>
    <comment ref="I70" authorId="0" shapeId="0" xr:uid="{43A48528-33F9-4493-90C7-2CB9C301D5CA}">
      <text>
        <r>
          <rPr>
            <sz val="9"/>
            <color indexed="81"/>
            <rFont val="Segoe UI"/>
            <family val="2"/>
          </rPr>
          <t xml:space="preserve">Em tese, durante o 3º ano de execução contratual se dará o gozo das férias adquiridas durante o 2º ano do contrato. Neste 3º ano cada SUBSTITUTO de férias cobre 11 postos de TITULARES. Ao fim de 12 meses do 3º ano de execução do contrato, o </t>
        </r>
        <r>
          <rPr>
            <b/>
            <sz val="9"/>
            <color indexed="81"/>
            <rFont val="Segoe UI"/>
            <family val="2"/>
          </rPr>
          <t>Substituto de férias terá direito a Alimentação de férias</t>
        </r>
        <r>
          <rPr>
            <sz val="9"/>
            <color indexed="81"/>
            <rFont val="Segoe UI"/>
            <family val="2"/>
          </rPr>
          <t>.
Assim, cada SUBSTITUTO férias no 3º ANO cobre 11 postos, estes 11 postos contribuem 12 meses para isso.
Então: (o nº de postos / pela quantidade de postos cobertos por cada SUBSTITUTO) = quantidade de substitutos (neste caso não precisa arredondar a quantidade por ser proporcional). = 46/11=4,18
A quantidade de substitutos / 12 meses = fração de cada substituto no mês = 4,18/12= 0,35
A fração de cada substituto no mês / pelo nº de postos= o percentual que cada posto deve repassar para que a Contratada possa arcar com este custo ao final do 3º ANO =0,35/46= 0,0076087*100=0,76087%</t>
        </r>
      </text>
    </comment>
    <comment ref="I71" authorId="0" shapeId="0" xr:uid="{E4C9D1DC-8A0B-412D-A20A-85A83DBF0D43}">
      <text>
        <r>
          <rPr>
            <sz val="9"/>
            <color indexed="81"/>
            <rFont val="Segoe UI"/>
            <charset val="1"/>
          </rPr>
          <t>Em tese, durante o 3º ano de execução contratual se dará o gozo das férias adquiridas durante o 2º ano do contrato. Neste 3º ano cada SUBSTITUTO de férias cobre 11 postos de TITULARES. 
Durante os meses em que o SUBSTITUTO estiver cobrindo as férias do TITULAR ele faz jus ao itens "H", "I" e "J".
Assim, cada SUBSTITUTO férias no 3º ANO cobre 11 postos, estes 11 postos contribuem mensalmente para que se realize o valor destes itens.
Então: (o nº de postos / pela quantidade de postos cobertos por cada SUBSTITUTO) = quantidade de substitutos (neste caso não precisa arredondar a quantidade por ser proporcional). = 46/11=4,18
A quantidade de substitutos /  pelo nº de postos= o percentual que cada posto deve repassar para que a Contratada possa arcar com este custo mensalmente =4,18/46= 0,0909*100=9,093%.
Esta regra se aplica aos 3 items.</t>
        </r>
      </text>
    </comment>
    <comment ref="I83" authorId="0" shapeId="0" xr:uid="{8EA7846E-51EA-4068-8D51-58E732059B38}">
      <text>
        <r>
          <rPr>
            <b/>
            <sz val="9"/>
            <color indexed="81"/>
            <rFont val="Segoe UI"/>
            <family val="2"/>
          </rPr>
          <t>Na Prorrogação será readequado para 0,281% que equivale a 3 dias além dos 30 dias por ano trabalhado.</t>
        </r>
      </text>
    </comment>
    <comment ref="H85" authorId="0" shapeId="0" xr:uid="{939B89A4-64E7-4FDE-8534-71921D3A9674}">
      <text>
        <r>
          <rPr>
            <b/>
            <sz val="9"/>
            <color indexed="81"/>
            <rFont val="Segoe UI"/>
            <family val="2"/>
          </rPr>
          <t>IDEM MEMÓRIA DE CÁLCULO REF 1º ANO</t>
        </r>
        <r>
          <rPr>
            <sz val="9"/>
            <color indexed="81"/>
            <rFont val="Segoe UI"/>
            <family val="2"/>
          </rPr>
          <t xml:space="preserve">.
</t>
        </r>
      </text>
    </comment>
    <comment ref="H86" authorId="2" shapeId="0" xr:uid="{9135BC56-854D-4558-8FBD-D131242382AE}">
      <text>
        <r>
          <rPr>
            <b/>
            <sz val="10"/>
            <color rgb="FF000000"/>
            <rFont val="Times New Roman"/>
            <family val="1"/>
          </rPr>
          <t>Na Prorrogação será readequado para 0,1944% que equivale a 3 dias além dos 30 dias por ano trabalhado.</t>
        </r>
      </text>
    </comment>
    <comment ref="H88" authorId="0" shapeId="0" xr:uid="{0D80DA25-557A-4539-B4A0-FB7E8DD24109}">
      <text>
        <r>
          <rPr>
            <b/>
            <sz val="9"/>
            <color indexed="81"/>
            <rFont val="Segoe UI"/>
            <family val="2"/>
          </rPr>
          <t>IDEM MEMÓRIA DE CÁLCULO REF 1º ANO.</t>
        </r>
      </text>
    </comment>
    <comment ref="H95" authorId="0" shapeId="0" xr:uid="{69B37555-35F7-4CE8-8ACC-04F2767A6730}">
      <text>
        <r>
          <rPr>
            <b/>
            <sz val="9"/>
            <color indexed="81"/>
            <rFont val="Segoe UI"/>
            <family val="2"/>
          </rPr>
          <t>IDEM MEMÓRIA DE CÁLCULO REF 1º ANO.</t>
        </r>
      </text>
    </comment>
    <comment ref="H105" authorId="3" shapeId="0" xr:uid="{DF9F34AF-0094-4AA9-8923-AEA6DB5DFF8D}">
      <text>
        <r>
          <rPr>
            <b/>
            <sz val="9"/>
            <color rgb="FF000000"/>
            <rFont val="Segoe UI"/>
            <family val="2"/>
          </rPr>
          <t>Dados Estatísticos Caderno Técnico Limpeza 2019 PR pág. 20</t>
        </r>
      </text>
    </comment>
    <comment ref="H106" authorId="3" shapeId="0" xr:uid="{8215C9FF-6AF3-4AC1-8AAD-8A0C0C109F7C}">
      <text>
        <r>
          <rPr>
            <b/>
            <sz val="9"/>
            <color rgb="FF000000"/>
            <rFont val="Segoe UI"/>
            <family val="2"/>
          </rPr>
          <t>Dados Estatísticos Caderno Técnico Limpeza 2019 PR págima 20</t>
        </r>
      </text>
    </comment>
    <comment ref="H107" authorId="3" shapeId="0" xr:uid="{F6A88A4B-E993-4B3B-BEBD-F6DD980DEECA}">
      <text>
        <r>
          <rPr>
            <b/>
            <sz val="9"/>
            <color rgb="FF000000"/>
            <rFont val="Segoe UI"/>
            <family val="2"/>
          </rPr>
          <t>DDados Estatísticos Caderno Técnico Limpeza 2019 PR pág. 20</t>
        </r>
      </text>
    </comment>
    <comment ref="I120" authorId="3" shapeId="0" xr:uid="{9B951B03-FBE7-40F7-91B4-F2640CA0E024}">
      <text>
        <r>
          <rPr>
            <sz val="9"/>
            <color rgb="FF000000"/>
            <rFont val="Segoe UI"/>
            <family val="2"/>
          </rPr>
          <t>Valor do uniforme se altera para menor devido a quantidade a partir do 2º ANO ser menor.</t>
        </r>
        <r>
          <rPr>
            <b/>
            <sz val="9"/>
            <color rgb="FF000000"/>
            <rFont val="Segoe UI"/>
            <family val="2"/>
          </rPr>
          <t xml:space="preserve"> ***O valor unitário pode alterar por correção por meio de índice previsto em contrato - IPCA</t>
        </r>
      </text>
    </comment>
    <comment ref="I121" authorId="3" shapeId="0" xr:uid="{16555C20-0CC7-42CC-8E1B-3024695B2A77}">
      <text>
        <r>
          <rPr>
            <b/>
            <sz val="9"/>
            <color rgb="FF000000"/>
            <rFont val="Segoe UI"/>
            <family val="2"/>
          </rPr>
          <t>Preencher na ABA DADOS BÁSICOS</t>
        </r>
      </text>
    </comment>
    <comment ref="I122" authorId="3" shapeId="0" xr:uid="{39FFDA06-56C7-4282-B78F-180963E8F269}">
      <text>
        <r>
          <rPr>
            <b/>
            <sz val="9"/>
            <color rgb="FF000000"/>
            <rFont val="Segoe UI"/>
            <family val="2"/>
          </rPr>
          <t>IDEM MEMÓRIA DE CÁLCULO REF 1º ANO.</t>
        </r>
      </text>
    </comment>
    <comment ref="H123" authorId="0" shapeId="0" xr:uid="{C42CFBF1-2278-4BBF-B664-2E28AB7DB40B}">
      <text>
        <r>
          <rPr>
            <b/>
            <sz val="9"/>
            <color indexed="81"/>
            <rFont val="Segoe UI"/>
            <charset val="1"/>
          </rPr>
          <t>Marcio J. Ferro:</t>
        </r>
        <r>
          <rPr>
            <sz val="9"/>
            <color indexed="81"/>
            <rFont val="Segoe UI"/>
            <charset val="1"/>
          </rPr>
          <t xml:space="preserve">
quantidade </t>
        </r>
      </text>
    </comment>
    <comment ref="I123" authorId="3" shapeId="0" xr:uid="{FFA7A9CA-D479-439A-AF14-D35BE388E21E}">
      <text>
        <r>
          <rPr>
            <sz val="9"/>
            <color rgb="FF000000"/>
            <rFont val="Segoe UI"/>
            <family val="2"/>
          </rPr>
          <t xml:space="preserve">Em tese, durante o 3º ano de execução contratual se dará o gozo das férias adquiridas durante o 2º ano do contrato. </t>
        </r>
        <r>
          <rPr>
            <b/>
            <sz val="9"/>
            <color rgb="FF000000"/>
            <rFont val="Segoe UI"/>
            <family val="2"/>
          </rPr>
          <t>Neste 3º ano cada SUBSTITUTO de férias cobre 11 postos</t>
        </r>
        <r>
          <rPr>
            <sz val="9"/>
            <color rgb="FF000000"/>
            <rFont val="Segoe UI"/>
            <family val="2"/>
          </rPr>
          <t xml:space="preserve"> de TITULARES. 
Para o valor referente ao uniforme dos terceirizados que irão cobrir as férias adotou-se o uso de quantidades inteiras, dividindo-se o nº de postos / qtd de postos cobertos por CADA SUBSTITUTO = 46/11 = 4,18 - arredondado para cima a qtd de SUBSTITUTOS =5, assim, por exemplo 4,18 SUBSTITUTOS, para fins de uniforme é considerado 5 terceirizados. 
O percentual do custo do uniforme para cada posto, levando-se em conta que este custo deve ser dividido por todos os postos = 5/46 = 0,10869*100=</t>
        </r>
        <r>
          <rPr>
            <b/>
            <sz val="9"/>
            <color rgb="FF000000"/>
            <rFont val="Segoe UI"/>
            <family val="2"/>
          </rPr>
          <t>10,87%</t>
        </r>
      </text>
    </comment>
    <comment ref="I124" authorId="3" shapeId="0" xr:uid="{61B0476B-8D7D-449B-8430-65759E863171}">
      <text>
        <r>
          <rPr>
            <b/>
            <sz val="9"/>
            <color rgb="FF000000"/>
            <rFont val="Segoe UI"/>
            <family val="2"/>
          </rPr>
          <t>Preencher na ABA DADOS BÁSICOS</t>
        </r>
        <r>
          <rPr>
            <b/>
            <sz val="9"/>
            <color rgb="FF000000"/>
            <rFont val="Segoe UI"/>
            <family val="2"/>
          </rPr>
          <t xml:space="preserve">
</t>
        </r>
      </text>
    </comment>
    <comment ref="I125" authorId="3" shapeId="0" xr:uid="{3E69FABF-A5B3-4667-B038-19CBC8BA7544}">
      <text>
        <r>
          <rPr>
            <b/>
            <sz val="9"/>
            <color rgb="FF000000"/>
            <rFont val="Segoe UI"/>
            <family val="2"/>
          </rPr>
          <t>Preencher na ABA DADOS BÁSICOS</t>
        </r>
        <r>
          <rPr>
            <b/>
            <sz val="9"/>
            <color rgb="FF000000"/>
            <rFont val="Segoe UI"/>
            <family val="2"/>
          </rPr>
          <t xml:space="preserve">
</t>
        </r>
      </text>
    </comment>
    <comment ref="I126" authorId="3" shapeId="0" xr:uid="{CE9F5DFF-E888-406C-B7E4-7FDD3228BFB0}">
      <text>
        <r>
          <rPr>
            <b/>
            <sz val="9"/>
            <color rgb="FF000000"/>
            <rFont val="Segoe UI"/>
            <family val="2"/>
          </rPr>
          <t>Preencher na ABA DADOS BÁSICOS</t>
        </r>
        <r>
          <rPr>
            <b/>
            <sz val="9"/>
            <color rgb="FF000000"/>
            <rFont val="Segoe UI"/>
            <family val="2"/>
          </rPr>
          <t xml:space="preserve">
</t>
        </r>
      </text>
    </comment>
    <comment ref="I127" authorId="3" shapeId="0" xr:uid="{1207BBE2-9FFE-4A5B-8DFB-57646FA0DB81}">
      <text>
        <r>
          <rPr>
            <b/>
            <sz val="9"/>
            <color rgb="FF000000"/>
            <rFont val="Segoe UI"/>
            <family val="2"/>
          </rPr>
          <t>IDEM MEMÓRIA DE CÁLCULO REF 1º ANO.</t>
        </r>
      </text>
    </comment>
    <comment ref="I128" authorId="3" shapeId="0" xr:uid="{6408B5DB-BEAC-45D5-B3AE-69E0C1900712}">
      <text>
        <r>
          <rPr>
            <sz val="9"/>
            <color rgb="FF000000"/>
            <rFont val="Segoe UI"/>
            <family val="2"/>
          </rPr>
          <t>Valor referente ao equipamento dos SUBSTITUTOS que irão cobrir as férias, como não há como fornecer parte de um equipamento adotou-se, para este quesito, dividir o nº de postos pela quantidade de postos que cada substituto pode cobrir no 3º ANO, arredondado para cima a qtd de SUBSTITUTOS ferista, assim,  46/11 = 4,18 - arredondado para cima a qtd de SUBSTITUTOS =5, assim, por exemplo 4,18 SUBSTITUTOS, para fins de uniforme é considerado 5 terceirizados. 
Como a quantidade de equipamentos é fixa por local e seu valor advém do rateio deste valor pelo nº de terceirizados alocados no contrato, o valor referente ao ferista (terceirizados não presentes no cálculo de quantidade de postos) será um valor negativo a diminuir do todo, pois está se incluindo quantidades ao divisor.
Para cálculo de equipamentos dos substituto de férias será considerado 5 terceirizados.
Custo do equipamento para cada posto, levando-se em conta que este custo deve ser dividido pelo total de postos em cada local e que os feristas somam ao divisor, ou seja, como se houvessem mais 5 postos.
cálculo do valor para equipamentos dos feristas = vlr mensal do equipamento / nº de postos no local (recepcionistas; telefonistas; recepcionista feristas; telefonista ferista) - vlr do equipamento rateado entre a qtd de postos para o local) - vlr mensal do equipamento.</t>
        </r>
      </text>
    </comment>
    <comment ref="B138" authorId="2" shapeId="0" xr:uid="{F2356F3A-D93A-4239-AE1B-650CEE7C8589}">
      <text>
        <r>
          <rPr>
            <sz val="10"/>
            <color rgb="FF000000"/>
            <rFont val="Times New Roman"/>
            <family val="1"/>
          </rPr>
          <t xml:space="preserve">BASE DE CÁLCULO DOS CUSTOS INDIRETOS  = (Soma dos Módulos 1, 2, 3, 4 e 5).  </t>
        </r>
        <r>
          <rPr>
            <b/>
            <sz val="10"/>
            <color rgb="FF000000"/>
            <rFont val="Times New Roman"/>
            <family val="1"/>
          </rPr>
          <t>Max 5% TCU Acórdão nº 1753/2008- Plenário</t>
        </r>
      </text>
    </comment>
    <comment ref="B139" authorId="2" shapeId="0" xr:uid="{F8112D8C-0882-44E1-9ABC-B4FDF6DCE202}">
      <text>
        <r>
          <rPr>
            <sz val="10"/>
            <color rgb="FF000000"/>
            <rFont val="Times New Roman"/>
            <family val="1"/>
          </rPr>
          <t xml:space="preserve">BASE DE CÁLCULO DO LUCRO = (Soma dos Módulos 1, 2, 3, 4 e 5) + Custos Indiretos.  </t>
        </r>
        <r>
          <rPr>
            <b/>
            <sz val="10"/>
            <color rgb="FF000000"/>
            <rFont val="Times New Roman"/>
            <family val="1"/>
          </rPr>
          <t>Max 5% TCU Acórdão nº 1753/2008- Plenário</t>
        </r>
      </text>
    </comment>
    <comment ref="H140" authorId="1" shapeId="0" xr:uid="{5A6A665A-110E-41FC-A8DA-3588BD97870E}">
      <text>
        <r>
          <rPr>
            <sz val="10"/>
            <color rgb="FF000000"/>
            <rFont val="Times New Roman"/>
            <family val="1"/>
          </rPr>
          <t>IDEM MEMÓRIA DE CÁLCULO REF 1º ANO.</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Marcio J. Ferro</author>
  </authors>
  <commentList>
    <comment ref="A4" authorId="0" shapeId="0" xr:uid="{04A20068-FCCF-40FE-B671-1C63AAEAA72E}">
      <text>
        <r>
          <rPr>
            <b/>
            <sz val="9"/>
            <color indexed="81"/>
            <rFont val="Segoe UI"/>
            <charset val="1"/>
          </rPr>
          <t>Marcio J. Ferro:</t>
        </r>
        <r>
          <rPr>
            <sz val="9"/>
            <color indexed="81"/>
            <rFont val="Segoe UI"/>
            <charset val="1"/>
          </rPr>
          <t xml:space="preserve">
DATA DA PROPOSTA, TRAZ AUTOMATICAMENTE A DATA DO DIA, CASO QUEIRA ALTERAR É SÓ DIGITAR A DATA PRETENDIDA.</t>
        </r>
      </text>
    </comment>
    <comment ref="A7" authorId="0" shapeId="0" xr:uid="{6039F3DA-8F48-4F48-92F0-862120092797}">
      <text>
        <r>
          <rPr>
            <b/>
            <sz val="9"/>
            <color indexed="81"/>
            <rFont val="Segoe UI"/>
            <family val="2"/>
          </rPr>
          <t>Marcio J. Ferro:</t>
        </r>
        <r>
          <rPr>
            <sz val="9"/>
            <color indexed="81"/>
            <rFont val="Segoe UI"/>
            <family val="2"/>
          </rPr>
          <t xml:space="preserve">
LOCAL DE PRESTAÇÃO DOS SERVIÇOS</t>
        </r>
      </text>
    </comment>
    <comment ref="B7" authorId="0" shapeId="0" xr:uid="{6AE8F3FD-F011-4943-8735-8843F033CF7C}">
      <text>
        <r>
          <rPr>
            <b/>
            <sz val="9"/>
            <color indexed="81"/>
            <rFont val="Segoe UI"/>
            <family val="2"/>
          </rPr>
          <t>Marcio J. Ferro:</t>
        </r>
        <r>
          <rPr>
            <sz val="9"/>
            <color indexed="81"/>
            <rFont val="Segoe UI"/>
            <family val="2"/>
          </rPr>
          <t xml:space="preserve">
QUANTIDADE DE POSTOS PREVISTOS PARA CADA LOCAL.</t>
        </r>
      </text>
    </comment>
    <comment ref="C7" authorId="0" shapeId="0" xr:uid="{1CEAB839-C6F3-4534-87C2-099F5D409DA1}">
      <text>
        <r>
          <rPr>
            <b/>
            <sz val="9"/>
            <color indexed="81"/>
            <rFont val="Segoe UI"/>
            <family val="2"/>
          </rPr>
          <t>Marcio J. Ferro:</t>
        </r>
        <r>
          <rPr>
            <sz val="9"/>
            <color indexed="81"/>
            <rFont val="Segoe UI"/>
            <family val="2"/>
          </rPr>
          <t xml:space="preserve">
POSTO DE TRABALHO</t>
        </r>
      </text>
    </comment>
    <comment ref="D7" authorId="0" shapeId="0" xr:uid="{BAA2C1F9-123B-4C52-A331-30EBFB25A09A}">
      <text>
        <r>
          <rPr>
            <b/>
            <sz val="9"/>
            <color indexed="81"/>
            <rFont val="Segoe UI"/>
            <family val="2"/>
          </rPr>
          <t>Marcio J. Ferro:</t>
        </r>
        <r>
          <rPr>
            <sz val="9"/>
            <color indexed="81"/>
            <rFont val="Segoe UI"/>
            <family val="2"/>
          </rPr>
          <t xml:space="preserve">
DADOS DA CONVENÇÃO COLETIVA OU ACORDO COLETIVO.</t>
        </r>
      </text>
    </comment>
    <comment ref="E7" authorId="0" shapeId="0" xr:uid="{CE3357F8-953A-4B47-A4C2-BC2F0F95D5A5}">
      <text>
        <r>
          <rPr>
            <b/>
            <sz val="9"/>
            <color indexed="81"/>
            <rFont val="Segoe UI"/>
            <family val="2"/>
          </rPr>
          <t>Marcio J. Ferro:</t>
        </r>
        <r>
          <rPr>
            <sz val="9"/>
            <color indexed="81"/>
            <rFont val="Segoe UI"/>
            <family val="2"/>
          </rPr>
          <t xml:space="preserve">
DATA BASE DA CONVENÇÃO COLETIVA.</t>
        </r>
      </text>
    </comment>
    <comment ref="F7" authorId="0" shapeId="0" xr:uid="{5A8F1F29-E877-49F6-9A19-168CE1508A2C}">
      <text>
        <r>
          <rPr>
            <sz val="9"/>
            <color indexed="81"/>
            <rFont val="Segoe UI"/>
            <family val="2"/>
          </rPr>
          <t>O SINDICATO UTILIZADO NA ELABORAÇÃO DA PLANILHA DE FORMAÇÃO DE CUSTOS PELA ADMINISTRAÇÃO FOI O "SIEMACO/PR", POIS, HISTORICAMENTE AS EMPRESAS QUE PRESTARAM OS SERVIÇOS OBJETO DESTA LICITAÇÃO AO LONGO DE 20 ANOS O UTILIZARAM, SENDO SEUS SALÁRIOS E BENEFÍCIOS CAPAZ DE MANTER MÃO DE OBRA QUALIFICADA JUNTO AOS CONTRATOS.</t>
        </r>
        <r>
          <rPr>
            <b/>
            <sz val="9"/>
            <color indexed="81"/>
            <rFont val="Segoe UI"/>
            <charset val="1"/>
          </rPr>
          <t xml:space="preserve">
</t>
        </r>
        <r>
          <rPr>
            <sz val="9"/>
            <color indexed="81"/>
            <rFont val="Segoe UI"/>
            <family val="2"/>
          </rPr>
          <t>PODERÁ SER UTILIZADO OUTROS SINDICATOS NA FORMAÇÃO DOS CUSTOS DESDE QUE LEGALMENTE TENHA REPRESENTIVIDADE DA CATEGORIA E ABRANGÊNCIA.</t>
        </r>
      </text>
    </comment>
    <comment ref="G7" authorId="0" shapeId="0" xr:uid="{B8401D59-047D-4002-84AA-AB003C4ACBF6}">
      <text>
        <r>
          <rPr>
            <b/>
            <sz val="9"/>
            <color indexed="81"/>
            <rFont val="Segoe UI"/>
            <family val="2"/>
          </rPr>
          <t>Marcio J. Ferro:</t>
        </r>
        <r>
          <rPr>
            <sz val="9"/>
            <color indexed="81"/>
            <rFont val="Segoe UI"/>
            <family val="2"/>
          </rPr>
          <t xml:space="preserve">
CARGA HORÁRIA MENSAL BASE DA CONVENÇÃO COLETIVA.</t>
        </r>
      </text>
    </comment>
    <comment ref="H7" authorId="0" shapeId="0" xr:uid="{BA67CF1D-F247-4207-99C7-A072EAD2B8A2}">
      <text>
        <r>
          <rPr>
            <b/>
            <sz val="9"/>
            <color indexed="81"/>
            <rFont val="Segoe UI"/>
            <family val="2"/>
          </rPr>
          <t>Marcio J. Ferro:</t>
        </r>
        <r>
          <rPr>
            <sz val="9"/>
            <color indexed="81"/>
            <rFont val="Segoe UI"/>
            <family val="2"/>
          </rPr>
          <t xml:space="preserve">
Salário integral conforme convenção coletiva, normalmente para jornada de 220 horas/mês (Recepcionista) e de 180 horas/mês (Telefonista).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I7" authorId="0" shapeId="0" xr:uid="{45472160-7725-4C1B-B7B2-3E2353F173CE}">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J7" authorId="0" shapeId="0" xr:uid="{CF096C5E-2893-4EE3-BB64-01DD59C8CA1E}">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K7" authorId="0" shapeId="0" xr:uid="{7A7EC232-4F06-42DF-BE31-0010245B1930}">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L7" authorId="0" shapeId="0" xr:uid="{AE976168-0A38-41D8-A04D-1D832FC6E393}">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M7" authorId="0" shapeId="0" xr:uid="{D1FE4D46-000D-4E41-832E-3114687B3558}">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N7" authorId="0" shapeId="0" xr:uid="{52A4833A-745B-494A-A985-96484BDAA993}">
      <text>
        <r>
          <rPr>
            <b/>
            <sz val="9"/>
            <color indexed="81"/>
            <rFont val="Segoe UI"/>
            <family val="2"/>
          </rPr>
          <t>Marcio J. Ferro:</t>
        </r>
        <r>
          <rPr>
            <sz val="9"/>
            <color indexed="81"/>
            <rFont val="Segoe UI"/>
            <family val="2"/>
          </rPr>
          <t xml:space="preserve">
Foi utilizada para a formação de custos referêncial dos postos a Convenção Coletiva 2021-2023 do SIEMACO/PR, devido as licitantes historicamente utilizarem este Sindicato há mais de 20 anos. Poderá ser utilizado outro sindicato desde que seja regulamentado em representatividade e abrangência.  ***ESTE VALOR SERÁ ALTERADO QUANDO HOUVER REEQUILÍBRIO POR FORÇA DE NOVA CONVENÇÃO COLETIVA DA CATEGORIA.</t>
        </r>
      </text>
    </comment>
    <comment ref="Q7" authorId="0" shapeId="0" xr:uid="{5A9A3886-1837-423F-AC35-56068DE3588D}">
      <text>
        <r>
          <rPr>
            <b/>
            <sz val="9"/>
            <color indexed="81"/>
            <rFont val="Segoe UI"/>
            <family val="2"/>
          </rPr>
          <t>Marcio J. Ferro:</t>
        </r>
        <r>
          <rPr>
            <sz val="9"/>
            <color indexed="81"/>
            <rFont val="Segoe UI"/>
            <family val="2"/>
          </rPr>
          <t xml:space="preserve">
Considerando que 33,71% NÃO cumprem aviso prévio (variável)= dado estatítico do caderno técnico de limpeza para o Paraná pag. 16.
ESTE DADO ESTATÍSTICO PODE SER ALTERADO PELO LICITANTE CONFORME FOR O SEU ENTENDIMENTO.</t>
        </r>
      </text>
    </comment>
    <comment ref="R7" authorId="0" shapeId="0" xr:uid="{5F7A44DA-0411-4517-916F-2EF0938AB104}">
      <text>
        <r>
          <rPr>
            <b/>
            <sz val="9"/>
            <color indexed="81"/>
            <rFont val="Segoe UI"/>
            <family val="2"/>
          </rPr>
          <t>Marcio J. Ferro:</t>
        </r>
        <r>
          <rPr>
            <sz val="9"/>
            <color indexed="81"/>
            <rFont val="Segoe UI"/>
            <family val="2"/>
          </rPr>
          <t xml:space="preserve">
Considerando que 33,71%  CUMPREM o aviso prévio (variável)= dado estatítico do caderno técnico de limpeza para o Paraná pag. 16
ESTE DADO ESTATÍSTICO PODE SER ALTERADO PELO LICITANTE CONFORME FOR O SEU ENTENDIMENTO.</t>
        </r>
      </text>
    </comment>
    <comment ref="S7" authorId="0" shapeId="0" xr:uid="{AE75EFCA-E920-497E-87D9-90EE25ADAD3E}">
      <text>
        <r>
          <rPr>
            <b/>
            <sz val="9"/>
            <color indexed="81"/>
            <rFont val="Segoe UI"/>
            <family val="2"/>
          </rPr>
          <t>Marcio J. Ferro:</t>
        </r>
        <r>
          <rPr>
            <sz val="9"/>
            <color indexed="81"/>
            <rFont val="Segoe UI"/>
            <family val="2"/>
          </rPr>
          <t xml:space="preserve">
BASE DE CÁLCULO DOS CUSTOS INDIRETOS  = (Soma dos Módulos 1, 2, 3, 4 e 5).  Max 5% TCU Acórdão nº 1753/2008- Plenário</t>
        </r>
      </text>
    </comment>
    <comment ref="T7" authorId="0" shapeId="0" xr:uid="{8F8464EE-B169-494D-A70E-9C5B1A3AF7C6}">
      <text>
        <r>
          <rPr>
            <b/>
            <sz val="9"/>
            <color indexed="81"/>
            <rFont val="Segoe UI"/>
            <family val="2"/>
          </rPr>
          <t>Marcio J. Ferro:</t>
        </r>
        <r>
          <rPr>
            <sz val="9"/>
            <color indexed="81"/>
            <rFont val="Segoe UI"/>
            <family val="2"/>
          </rPr>
          <t xml:space="preserve">
BASE DE CÁLCULO DO LUCRO = (Soma dos Módulos 1, 2, 3, 4 e 5) + Custos Indiretos.  Max 5% TCU Acórdão nº 1753/2008- Plenário</t>
        </r>
      </text>
    </comment>
    <comment ref="U7" authorId="0" shapeId="0" xr:uid="{363C6F17-92F5-454A-BE32-A40622EC026C}">
      <text>
        <r>
          <rPr>
            <b/>
            <sz val="9"/>
            <color indexed="81"/>
            <rFont val="Segoe UI"/>
            <family val="2"/>
          </rPr>
          <t>Marcio J. Ferro:</t>
        </r>
        <r>
          <rPr>
            <sz val="9"/>
            <color indexed="81"/>
            <rFont val="Segoe UI"/>
            <family val="2"/>
          </rPr>
          <t xml:space="preserve">
ISS CONFORME OS LOCAIS DE PRESTAÇÃO DE SERVIÇOS.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Marcio J. Ferro</author>
    <author>Rossicléia Ferreira Campos</author>
    <author>Janayra Saraiva Lopes</author>
    <author>Silvino Schlickmann Junior</author>
  </authors>
  <commentList>
    <comment ref="H17" authorId="0" shapeId="0" xr:uid="{4293C846-6578-429C-8AB2-EC81B97292CD}">
      <text>
        <r>
          <rPr>
            <sz val="9"/>
            <color indexed="81"/>
            <rFont val="Segoe UI"/>
            <family val="2"/>
          </rPr>
          <t>IDEM MEMÓRIA DE CÁLCULO REF 1º ANO / ***ESTE VALOR SERÁ ALTERADO QUANDO HOUVER REEQUILÍBRIO POR FORÇA DE NOVA CONVENÇÃO COLETIVA DA CATEGORIA.</t>
        </r>
      </text>
    </comment>
    <comment ref="I23" authorId="0" shapeId="0" xr:uid="{35211469-0B72-4992-877F-6BF97BBB43C5}">
      <text>
        <r>
          <rPr>
            <sz val="9"/>
            <color indexed="81"/>
            <rFont val="Segoe UI"/>
            <family val="2"/>
          </rPr>
          <t>IDEM MEMÓRIA DE CÁLCULO REF 1º ANO / ***ESTE VALOR SERÁ ALTERADO QUANDO HOUVER REEQUILÍBRIO POR FORÇA DE NOVA CONVENÇÃO COLETIVA DA CATEGORIA.</t>
        </r>
      </text>
    </comment>
    <comment ref="I24" authorId="0" shapeId="0" xr:uid="{94B19EF8-CFC5-4C88-A5E6-FB26FB55698E}">
      <text>
        <r>
          <rPr>
            <sz val="9"/>
            <color indexed="81"/>
            <rFont val="Segoe UI"/>
            <family val="2"/>
          </rPr>
          <t>I</t>
        </r>
        <r>
          <rPr>
            <b/>
            <sz val="9"/>
            <color indexed="81"/>
            <rFont val="Segoe UI"/>
            <family val="2"/>
          </rPr>
          <t>DEM MEMÓRIA DE CÁLCULO REF 1º ANO.</t>
        </r>
      </text>
    </comment>
    <comment ref="I28" authorId="0" shapeId="0" xr:uid="{A9259A3A-0D81-428C-9599-A6D60C51A1C9}">
      <text>
        <r>
          <rPr>
            <sz val="9"/>
            <color indexed="81"/>
            <rFont val="Segoe UI"/>
            <family val="2"/>
          </rPr>
          <t>IDEM MEMÓRIA DE CÁLCULO REF 1º ANO / ***ESTE VALOR SERÁ ALTERADO QUANDO HOUVER REEQUILÍBRIO POR FORÇA DE NOVA CONVENÇÃO COLETIVA DA CATEGORIA.</t>
        </r>
      </text>
    </comment>
    <comment ref="H32" authorId="1" shapeId="0" xr:uid="{EFFF18B3-CB10-46D1-B0FB-304DDE340D48}">
      <text>
        <r>
          <rPr>
            <b/>
            <sz val="10"/>
            <color rgb="FF000000"/>
            <rFont val="Times New Roman"/>
            <family val="1"/>
          </rPr>
          <t xml:space="preserve"> </t>
        </r>
        <r>
          <rPr>
            <sz val="10"/>
            <color rgb="FF000000"/>
            <rFont val="Times New Roman"/>
            <family val="1"/>
          </rPr>
          <t>1/12meses = 0,0833=8,33%;</t>
        </r>
        <r>
          <rPr>
            <sz val="10"/>
            <color rgb="FF000000"/>
            <rFont val="Times New Roman"/>
            <family val="1"/>
          </rPr>
          <t xml:space="preserve">
Cotação de  8,33% sobre o valor do Módulo 1 - Composição da remuneração, conforme Anexo XII da IN 5/17</t>
        </r>
      </text>
    </comment>
    <comment ref="H33" authorId="2" shapeId="0" xr:uid="{DC2C9C56-B526-4DD9-96B1-A8A70B0FDC00}">
      <text>
        <r>
          <rPr>
            <sz val="9"/>
            <color rgb="FF000000"/>
            <rFont val="Tahoma"/>
            <family val="2"/>
          </rPr>
          <t xml:space="preserve">Cotação de Férias e Adicional de Férias do profissional titular, </t>
        </r>
        <r>
          <rPr>
            <sz val="9"/>
            <color rgb="FF000000"/>
            <rFont val="Tahoma"/>
            <family val="2"/>
          </rPr>
          <t xml:space="preserve">
conforme item 14 do ANEXO XII da IN 5/17. </t>
        </r>
        <r>
          <rPr>
            <b/>
            <i/>
            <u/>
            <sz val="9"/>
            <color rgb="FF000000"/>
            <rFont val="Tahoma"/>
            <family val="2"/>
          </rPr>
          <t xml:space="preserve">
</t>
        </r>
        <r>
          <rPr>
            <sz val="9"/>
            <color rgb="FF000000"/>
            <rFont val="Tahoma"/>
            <family val="2"/>
          </rPr>
          <t xml:space="preserve">Estamos tratando aqui das férias e 1/3 adicional de férias do empregado titular. </t>
        </r>
        <r>
          <rPr>
            <b/>
            <u/>
            <sz val="9"/>
            <color rgb="FF000000"/>
            <rFont val="Tahoma"/>
            <family val="2"/>
          </rPr>
          <t>Não confundir com a provisão do empregado substituto na cobertura de férias.</t>
        </r>
        <r>
          <rPr>
            <sz val="9"/>
            <color rgb="FF000000"/>
            <rFont val="Tahoma"/>
            <family val="2"/>
          </rPr>
          <t xml:space="preserve"> Como a alíquota de 12,1% é obtida pela soma das férias de 9,025% e do adicional de férias de 3,025%, sendo que o valor de férias ocorre somente no primeiro ano de contrato, assim, em caso de prorrogação contratual este quesito será reduzido a alíquota de 3,025%.</t>
        </r>
      </text>
    </comment>
    <comment ref="I35" authorId="0" shapeId="0" xr:uid="{FFCA87E2-672E-4FF2-B2B8-B7AFFDB03259}">
      <text>
        <r>
          <rPr>
            <sz val="9"/>
            <color indexed="81"/>
            <rFont val="Segoe UI"/>
            <family val="2"/>
          </rPr>
          <t>No 3º ANO houve a provisão deste item para ser pago no 4º ANO de execução contratual, na proporção de 11 para 1, ou seja, cada 11 postos para cada substituto por 12 meses provisionando 12 salários deste substituto, ou caso não haja prorrogação contratual indenização do TITULAR.
Ocorre que neste 4º ANO cada SUBSTITUTO cobre 11 postos, pois, em tese, o SUBSTITUTO trabalhou 12 meses no 3º ANO e também irá tirar férias no 4º ANO, assim, cada substituto trabalhará 11 meses para cobrir postos, assim, estes 11 postos, por 12 meses terão que arcar com o custo para o 5º ANO de contrato conforme a ocorrência ou não de prorrogação contratual.
Desta forma, este item continua a ser uma provisão para custear a remuneração do SUBSTITUTO na cobertura de férias ou, se não houver prorrogação, para a indenização proporcional do TITULAR.</t>
        </r>
      </text>
    </comment>
    <comment ref="I36" authorId="0" shapeId="0" xr:uid="{47A2C98D-50DE-4CE3-9CC8-9CBBE1B4ACC5}">
      <text>
        <r>
          <rPr>
            <sz val="9"/>
            <color indexed="81"/>
            <rFont val="Segoe UI"/>
            <charset val="1"/>
          </rPr>
          <t>Este item é complemento, devido que neste 3º ANO cada substituto trabalhará 11 meses para cobrir postos, assim, estes 11 postos, por 12 meses terão que arcar com o custo para o 4º ANO de contrato conforme a ocorrência ou não de prorrogação contratual.
Em</t>
        </r>
        <r>
          <rPr>
            <b/>
            <sz val="9"/>
            <color indexed="81"/>
            <rFont val="Segoe UI"/>
            <family val="2"/>
          </rPr>
          <t xml:space="preserve"> NÃO havendo</t>
        </r>
        <r>
          <rPr>
            <sz val="9"/>
            <color indexed="81"/>
            <rFont val="Segoe UI"/>
            <charset val="1"/>
          </rPr>
          <t xml:space="preserve"> prorrogação contratual para o 4º ANO o valor deste item </t>
        </r>
        <r>
          <rPr>
            <b/>
            <i/>
            <u/>
            <sz val="9"/>
            <color indexed="81"/>
            <rFont val="Segoe UI"/>
            <family val="2"/>
          </rPr>
          <t>deverá ser devolvido</t>
        </r>
        <r>
          <rPr>
            <sz val="9"/>
            <color indexed="81"/>
            <rFont val="Segoe UI"/>
            <charset val="1"/>
          </rPr>
          <t xml:space="preserve">, haja vista </t>
        </r>
        <r>
          <rPr>
            <b/>
            <sz val="9"/>
            <color indexed="81"/>
            <rFont val="Segoe UI"/>
            <family val="2"/>
          </rPr>
          <t>não ser para custeio do TITULAR</t>
        </r>
        <r>
          <rPr>
            <sz val="9"/>
            <color indexed="81"/>
            <rFont val="Segoe UI"/>
            <charset val="1"/>
          </rPr>
          <t>.</t>
        </r>
      </text>
    </comment>
    <comment ref="I37" authorId="0" shapeId="0" xr:uid="{B7045B67-B3DF-4118-AB03-F5AA0BD0E3EC}">
      <text>
        <r>
          <rPr>
            <sz val="9"/>
            <color indexed="81"/>
            <rFont val="Segoe UI"/>
            <family val="2"/>
          </rPr>
          <t>Em tese, durante o 4º ano de execução contratual se dará o gozo das férias adquiridas durante o 3º ano do contrato.
Neste 4º ano cada SUBSTITUTO de férias cobre 11 postos de TITULARES.
Ao fim de 12 meses do 4º ano de execução do contrato, o Substituto de férias terá direito a</t>
        </r>
        <r>
          <rPr>
            <b/>
            <sz val="9"/>
            <color indexed="81"/>
            <rFont val="Segoe UI"/>
            <family val="2"/>
          </rPr>
          <t xml:space="preserve"> férias e 13º salário também, bem como 1/3 de adicional de férias</t>
        </r>
        <r>
          <rPr>
            <sz val="9"/>
            <color indexed="81"/>
            <rFont val="Segoe UI"/>
            <family val="2"/>
          </rPr>
          <t>.
Assim, cada SUBSTITUTO férias no 4º ANO cobre 11 postos, estes 11 postos contribuem 12 meses para isso.
Então: (o nº de postos / pela quantidade de postos cobertos por cada SUBSTITUTO) = quantidade de substitutos (neste caso não precisa arredondar a quantidade por ser proporcional). = 46/11= 4,18
A quantidade de substitutos / 12 meses = fração de cada substituto no mês = 4,18 / 12 = 0,35
A fração de cada substituto no mês / pelo nº de postos= o percentual que cada posto deve repassar para que a Contratada possa arcar com este custo ao final do 4º ANO =0,35/46= 0,0076087*100=0,7608%
Esta regra é aplicada à férias proporcionais e ao 13º salário, o adicional de férias é = 0,7608%/3=0,25%</t>
        </r>
      </text>
    </comment>
    <comment ref="H48" authorId="1" shapeId="0" xr:uid="{F08B8A53-745E-4783-8AE9-455B611B1F91}">
      <text>
        <r>
          <rPr>
            <sz val="10"/>
            <color rgb="FF000000"/>
            <rFont val="Times New Roman"/>
            <family val="1"/>
          </rPr>
          <t xml:space="preserve">IDEM MEMÓRIA DE CÁLCULO REF 1º ANO - </t>
        </r>
        <r>
          <rPr>
            <b/>
            <i/>
            <u/>
            <sz val="10"/>
            <color rgb="FF000000"/>
            <rFont val="Times New Roman"/>
            <family val="1"/>
          </rPr>
          <t>*** verificar se o FAP alterou em relação a época da licitação e aplicar o novo FAP, se for o caso.</t>
        </r>
      </text>
    </comment>
    <comment ref="I57" authorId="0" shapeId="0" xr:uid="{F58E20EB-7E68-4504-8A01-B6EA8E51B57E}">
      <text>
        <r>
          <rPr>
            <b/>
            <sz val="9"/>
            <color rgb="FF000000"/>
            <rFont val="Segoe UI"/>
            <family val="2"/>
          </rPr>
          <t>AUXILIO TRANSPORTE:</t>
        </r>
        <r>
          <rPr>
            <sz val="9"/>
            <color rgb="FF000000"/>
            <rFont val="Segoe UI"/>
            <family val="2"/>
          </rPr>
          <t xml:space="preserve">
“Art. 10. O valor da parcela a ser suportada pelo beneficiário será descontada proporcionalmente à quantidade de Vale-Transporte concedida para o período a que se refere o salário ou vencimento e por ocasião de seu pagamento, salvo estipulação em contrário, em convenção ou acordo coletivo de trabalho, que favoreça o beneficiário. ”</t>
        </r>
        <r>
          <rPr>
            <sz val="9"/>
            <color rgb="FF000000"/>
            <rFont val="Segoe UI"/>
            <family val="2"/>
          </rPr>
          <t xml:space="preserve">
Desconto: quando não previsto na CCT será de 6%.</t>
        </r>
        <r>
          <rPr>
            <sz val="9"/>
            <color rgb="FF000000"/>
            <rFont val="Segoe UI"/>
            <family val="2"/>
          </rPr>
          <t xml:space="preserve">
Valor do desconto: calculado a partir da incidência de 6% sobre a parcela do salário base aplicado</t>
        </r>
        <r>
          <rPr>
            <sz val="9"/>
            <color rgb="FF000000"/>
            <rFont val="Segoe UI"/>
            <family val="2"/>
          </rPr>
          <t xml:space="preserve">
à proporcionalidade do mês afetada.</t>
        </r>
        <r>
          <rPr>
            <sz val="9"/>
            <color rgb="FF000000"/>
            <rFont val="Segoe UI"/>
            <family val="2"/>
          </rPr>
          <t xml:space="preserve">
Exemplo: Base de Cálculo x Proporcionalidade x Desconto = Valor do desconto</t>
        </r>
      </text>
    </comment>
    <comment ref="H58" authorId="0" shapeId="0" xr:uid="{D3CAAFD5-EF0C-46B5-8C93-45362F05C6C4}">
      <text>
        <r>
          <rPr>
            <sz val="9"/>
            <color indexed="81"/>
            <rFont val="Segoe UI"/>
            <family val="2"/>
          </rPr>
          <t>IDEM MEMÓRIA DE CÁLCULO REF 1º ANO, pode ser alterado em caso de aumento da tarifa de transporte, porém, esta alteração se dá de forma proporcional caso a licitante não tenha utilizado o valor idêntico ao da tarifa.</t>
        </r>
      </text>
    </comment>
    <comment ref="H62" authorId="0" shapeId="0" xr:uid="{CC0E9FA9-EF49-43F5-A694-B1F5978F77C5}">
      <text>
        <r>
          <rPr>
            <sz val="9"/>
            <color indexed="81"/>
            <rFont val="Segoe UI"/>
            <family val="2"/>
          </rPr>
          <t>IDEM MEMÓRIA DE CÁLCULO REF 1º ANO, as alterações ocorrem conforme alteração da CCT da categoria, esta regra se aplica do item "B" ao "E".</t>
        </r>
      </text>
    </comment>
    <comment ref="I68" authorId="0" shapeId="0" xr:uid="{35E2529F-BFBE-4959-AA44-FD48BA3AD763}">
      <text>
        <r>
          <rPr>
            <sz val="9"/>
            <color indexed="81"/>
            <rFont val="Segoe UI"/>
            <family val="2"/>
          </rPr>
          <t>No 3º ANO houve a provisão deste item para ser pago no 4º ANO de execução contratual, na proporção de 11 para 1, ou seja, cada 11 postos para cada substituto por 12 meses provisionando 12 alimentações deste substituto, ou caso não haja prorrogação contratual indenização do TITULAR.
Ocorre que neste 4º ANO cada SUBSTITUTO cobre 11 postos, pois, em tese, o SUBSTITUTO trabalhou 12 meses no 3º ANO e também irá tirar férias no 4º ANO, assim, cada substituto trabalhará 11 meses para cobrir postos, assim, estes 11 postos, por 12 meses terão que arcar com o custo para o 5º ANO de contrato conforme a ocorrência ou não de prorrogação contratual.
Desta forma, este item continua a ser uma provisão para custear a remuneração do SUBSTITUTO na cobertura de férias ou, se não houver prorrogação, para a indenização proporcional do TITULAR.</t>
        </r>
      </text>
    </comment>
    <comment ref="I69" authorId="0" shapeId="0" xr:uid="{59AB643C-E110-4E5D-A545-140E6BED81F7}">
      <text>
        <r>
          <rPr>
            <sz val="9"/>
            <color indexed="81"/>
            <rFont val="Segoe UI"/>
            <charset val="1"/>
          </rPr>
          <t xml:space="preserve">Este item é complemento do item "F", devido que neste 4º ANO cada substituto trabalhará 11 meses para cobrir postos, assim, estes 11 postos, por 12 meses terão que arcar com o custo para o 5º ANO de contrato conforme a ocorrência ou não de prorrogação contratual.
Em </t>
        </r>
        <r>
          <rPr>
            <b/>
            <sz val="9"/>
            <color indexed="81"/>
            <rFont val="Segoe UI"/>
            <family val="2"/>
          </rPr>
          <t xml:space="preserve">NÃO </t>
        </r>
        <r>
          <rPr>
            <sz val="9"/>
            <color indexed="81"/>
            <rFont val="Segoe UI"/>
            <charset val="1"/>
          </rPr>
          <t xml:space="preserve">havendo prorrogação contratual para o 5º ANO o valor deste item </t>
        </r>
        <r>
          <rPr>
            <b/>
            <i/>
            <u/>
            <sz val="9"/>
            <color indexed="81"/>
            <rFont val="Segoe UI"/>
            <family val="2"/>
          </rPr>
          <t>deverá ser devolvido</t>
        </r>
        <r>
          <rPr>
            <sz val="9"/>
            <color indexed="81"/>
            <rFont val="Segoe UI"/>
            <charset val="1"/>
          </rPr>
          <t>, haja vista não ser para custeio do TITULAR.</t>
        </r>
      </text>
    </comment>
    <comment ref="I70" authorId="0" shapeId="0" xr:uid="{D9723CB3-5BFB-4DF8-8188-C8B751A7CB29}">
      <text>
        <r>
          <rPr>
            <sz val="9"/>
            <color indexed="81"/>
            <rFont val="Segoe UI"/>
            <family val="2"/>
          </rPr>
          <t xml:space="preserve">Em tese, durante o 4º ano de execução contratual se dará o gozo das férias adquiridas durante o 3º ano do contrato. Neste 4º ano cada SUBSTITUTO de férias cobre 11 postos de TITULARES. Ao fim de 12 meses do 4º ano de execução do contrato, o </t>
        </r>
        <r>
          <rPr>
            <b/>
            <sz val="9"/>
            <color indexed="81"/>
            <rFont val="Segoe UI"/>
            <family val="2"/>
          </rPr>
          <t>Substituto de férias terá direito a Alimentação de férias</t>
        </r>
        <r>
          <rPr>
            <sz val="9"/>
            <color indexed="81"/>
            <rFont val="Segoe UI"/>
            <family val="2"/>
          </rPr>
          <t>.
Assim, cada SUBSTITUTO férias no 4º ANO cobre 11 postos, estes 11 postos contribuem 12 meses para isso.
Então: (o nº de postos / pela quantidade de postos cobertos por cada SUBSTITUTO) = quantidade de substitutos (neste caso não precisa arredondar a quantidade por ser proporcional). = 46/11=4,18
A quantidade de substitutos / 12 meses = fração de cada substituto no mês = 4,18/12= 0,35
A fração de cada substituto no mês / pelo nº de postos= o percentual que cada posto deve repassar para que a Contratada possa arcar com este custo ao final do 4º ANO =0,35/46= 0,0076087*100=0,76087%</t>
        </r>
      </text>
    </comment>
    <comment ref="I71" authorId="0" shapeId="0" xr:uid="{6AE80F8E-35A6-4762-95EF-F1FA1A509597}">
      <text>
        <r>
          <rPr>
            <sz val="9"/>
            <color indexed="81"/>
            <rFont val="Segoe UI"/>
            <charset val="1"/>
          </rPr>
          <t>Em tese, durante o 4º ano de execução contratual se dará o gozo das férias adquiridas durante o 3º ano do contrato. Neste 4º ano cada SUBSTITUTO de férias cobre 11 postos de TITULARES. 
Durante os meses em que o SUBSTITUTO estiver cobrindo as férias do TITULAR ele faz jus ao itens "H", "I" e "J".
Assim, cada SUBSTITUTO férias no 4º ANO cobre 11 postos, estes 11 postos contribuem mensalmente para que se realize o valor destes itens.
Então: (o nº de postos / pela quantidade de postos cobertos por cada SUBSTITUTO) = quantidade de substitutos (neste caso não precisa arredondar a quantidade por ser proporcional). = 46/11=4,18
A quantidade de substitutos /  pelo nº de postos= o percentual que cada posto deve repassar para que a Contratada possa arcar com este custo mensalmente =4,18/46= 0,0909*100=9,093%.
Esta regra se aplica aos 3 items.</t>
        </r>
      </text>
    </comment>
    <comment ref="I83" authorId="0" shapeId="0" xr:uid="{DF34A3D3-15B5-4088-8991-5B55C9AAD76A}">
      <text>
        <r>
          <rPr>
            <b/>
            <sz val="9"/>
            <color indexed="81"/>
            <rFont val="Segoe UI"/>
            <family val="2"/>
          </rPr>
          <t>Na Prorrogação será readequado para 0,281% que equivale a 3 dias além dos 30 dias por ano trabalhado.</t>
        </r>
      </text>
    </comment>
    <comment ref="H85" authorId="0" shapeId="0" xr:uid="{D0BF6E20-5BE7-476C-855F-31589E610B7B}">
      <text>
        <r>
          <rPr>
            <b/>
            <sz val="9"/>
            <color indexed="81"/>
            <rFont val="Segoe UI"/>
            <family val="2"/>
          </rPr>
          <t>IDEM MEMÓRIA DE CÁLCULO REF 1º ANO</t>
        </r>
        <r>
          <rPr>
            <sz val="9"/>
            <color indexed="81"/>
            <rFont val="Segoe UI"/>
            <family val="2"/>
          </rPr>
          <t xml:space="preserve">.
</t>
        </r>
      </text>
    </comment>
    <comment ref="H86" authorId="2" shapeId="0" xr:uid="{4AB2FB22-A2AA-48DF-AF28-5626EA94332C}">
      <text>
        <r>
          <rPr>
            <b/>
            <sz val="10"/>
            <color rgb="FF000000"/>
            <rFont val="Times New Roman"/>
            <family val="1"/>
          </rPr>
          <t>Na Prorrogação será readequado para 0,1944% que equivale a 3 dias além dos 30 dias por ano trabalhado.</t>
        </r>
      </text>
    </comment>
    <comment ref="H88" authorId="0" shapeId="0" xr:uid="{9BDA42C6-C8F2-44A6-9912-759613CED6EB}">
      <text>
        <r>
          <rPr>
            <b/>
            <sz val="9"/>
            <color indexed="81"/>
            <rFont val="Segoe UI"/>
            <family val="2"/>
          </rPr>
          <t>IDEM MEMÓRIA DE CÁLCULO REF 1º ANO.</t>
        </r>
      </text>
    </comment>
    <comment ref="H95" authorId="0" shapeId="0" xr:uid="{594C9AC6-3841-4509-99EE-8826DFF17D58}">
      <text>
        <r>
          <rPr>
            <b/>
            <sz val="9"/>
            <color indexed="81"/>
            <rFont val="Segoe UI"/>
            <family val="2"/>
          </rPr>
          <t>IDEM MEMÓRIA DE CÁLCULO REF 1º ANO.</t>
        </r>
      </text>
    </comment>
    <comment ref="H105" authorId="3" shapeId="0" xr:uid="{D0D3EF4E-8997-418A-B821-B391C861F764}">
      <text>
        <r>
          <rPr>
            <b/>
            <sz val="9"/>
            <color rgb="FF000000"/>
            <rFont val="Segoe UI"/>
            <family val="2"/>
          </rPr>
          <t>Dados Estatísticos Caderno Técnico Limpeza 2019 PR pág. 20</t>
        </r>
      </text>
    </comment>
    <comment ref="H106" authorId="3" shapeId="0" xr:uid="{53FEB390-6F84-49F0-9299-F756BB0AF0B1}">
      <text>
        <r>
          <rPr>
            <b/>
            <sz val="9"/>
            <color rgb="FF000000"/>
            <rFont val="Segoe UI"/>
            <family val="2"/>
          </rPr>
          <t>Dados Estatísticos Caderno Técnico Limpeza 2019 PR págima 20</t>
        </r>
      </text>
    </comment>
    <comment ref="H107" authorId="3" shapeId="0" xr:uid="{8BE62161-C835-407A-B8ED-F6F096E47409}">
      <text>
        <r>
          <rPr>
            <b/>
            <sz val="9"/>
            <color rgb="FF000000"/>
            <rFont val="Segoe UI"/>
            <family val="2"/>
          </rPr>
          <t>DDados Estatísticos Caderno Técnico Limpeza 2019 PR pág. 20</t>
        </r>
      </text>
    </comment>
    <comment ref="I120" authorId="3" shapeId="0" xr:uid="{D7E203DA-745C-45EE-8F04-B4DAFCD49D2C}">
      <text>
        <r>
          <rPr>
            <sz val="9"/>
            <color rgb="FF000000"/>
            <rFont val="Segoe UI"/>
            <family val="2"/>
          </rPr>
          <t>Valor do uniforme se altera para menor devido a quantidade a partir do 2º ANO ser menor.</t>
        </r>
        <r>
          <rPr>
            <b/>
            <sz val="9"/>
            <color rgb="FF000000"/>
            <rFont val="Segoe UI"/>
            <family val="2"/>
          </rPr>
          <t xml:space="preserve"> ***O valor unitário pode alterar por correção por meio de índice previsto em contrato - IPCA</t>
        </r>
      </text>
    </comment>
    <comment ref="I121" authorId="3" shapeId="0" xr:uid="{176CC6A1-D2E7-4145-A7F7-390195779AFA}">
      <text>
        <r>
          <rPr>
            <b/>
            <sz val="9"/>
            <color rgb="FF000000"/>
            <rFont val="Segoe UI"/>
            <family val="2"/>
          </rPr>
          <t>Preencher na ABA DADOS BÁSICOS</t>
        </r>
      </text>
    </comment>
    <comment ref="I122" authorId="3" shapeId="0" xr:uid="{8EA57FB5-AA30-4794-9DB2-37849487DA46}">
      <text>
        <r>
          <rPr>
            <b/>
            <sz val="9"/>
            <color rgb="FF000000"/>
            <rFont val="Segoe UI"/>
            <family val="2"/>
          </rPr>
          <t>IDEM MEMÓRIA DE CÁLCULO REF 1º ANO.</t>
        </r>
      </text>
    </comment>
    <comment ref="H123" authorId="0" shapeId="0" xr:uid="{C4218F4D-6D9A-40AA-9898-8D7065D35385}">
      <text>
        <r>
          <rPr>
            <b/>
            <sz val="9"/>
            <color indexed="81"/>
            <rFont val="Segoe UI"/>
            <charset val="1"/>
          </rPr>
          <t>Marcio J. Ferro:</t>
        </r>
        <r>
          <rPr>
            <sz val="9"/>
            <color indexed="81"/>
            <rFont val="Segoe UI"/>
            <charset val="1"/>
          </rPr>
          <t xml:space="preserve">
quantidade </t>
        </r>
      </text>
    </comment>
    <comment ref="I123" authorId="3" shapeId="0" xr:uid="{FD0DE6FC-9C7D-4310-82D4-A1F76185F5F2}">
      <text>
        <r>
          <rPr>
            <sz val="9"/>
            <color rgb="FF000000"/>
            <rFont val="Segoe UI"/>
            <family val="2"/>
          </rPr>
          <t xml:space="preserve">Em tese, durante o 4º ano de execução contratual se dará o gozo das férias adquiridas durante o 3º ano do contrato. </t>
        </r>
        <r>
          <rPr>
            <b/>
            <sz val="9"/>
            <color rgb="FF000000"/>
            <rFont val="Segoe UI"/>
            <family val="2"/>
          </rPr>
          <t>Neste 4º ano cada SUBSTITUTO de férias cobre 11 postos</t>
        </r>
        <r>
          <rPr>
            <sz val="9"/>
            <color rgb="FF000000"/>
            <rFont val="Segoe UI"/>
            <family val="2"/>
          </rPr>
          <t xml:space="preserve"> de TITULARES. 
Para o valor referente ao uniforme dos terceirizados que irão cobrir as férias adotou-se o uso de quantidades inteiras, dividindo-se o nº de postos / qtd de postos cobertos por CADA SUBSTITUTO = 46/11 = 4,18 - arredondado para cima a qtd de SUBSTITUTOS =5, assim, por exemplo 4,18 SUBSTITUTOS, para fins de uniforme é considerado 5 terceirizados. 
O percentual do custo do uniforme para cada posto, levando-se em conta que este custo deve ser dividido por todos os postos = 5/46 = 0,10869*100=</t>
        </r>
        <r>
          <rPr>
            <b/>
            <sz val="9"/>
            <color rgb="FF000000"/>
            <rFont val="Segoe UI"/>
            <family val="2"/>
          </rPr>
          <t>10,87%</t>
        </r>
      </text>
    </comment>
    <comment ref="I124" authorId="3" shapeId="0" xr:uid="{94863B71-D740-4F87-95B5-411D3F831D42}">
      <text>
        <r>
          <rPr>
            <b/>
            <sz val="9"/>
            <color rgb="FF000000"/>
            <rFont val="Segoe UI"/>
            <family val="2"/>
          </rPr>
          <t>Preencher na ABA DADOS BÁSICOS</t>
        </r>
        <r>
          <rPr>
            <b/>
            <sz val="9"/>
            <color rgb="FF000000"/>
            <rFont val="Segoe UI"/>
            <family val="2"/>
          </rPr>
          <t xml:space="preserve">
</t>
        </r>
      </text>
    </comment>
    <comment ref="I125" authorId="3" shapeId="0" xr:uid="{3D25BCF6-B100-4E2A-870C-87474EA51AF8}">
      <text>
        <r>
          <rPr>
            <b/>
            <sz val="9"/>
            <color rgb="FF000000"/>
            <rFont val="Segoe UI"/>
            <family val="2"/>
          </rPr>
          <t>Preencher na ABA DADOS BÁSICOS</t>
        </r>
        <r>
          <rPr>
            <b/>
            <sz val="9"/>
            <color rgb="FF000000"/>
            <rFont val="Segoe UI"/>
            <family val="2"/>
          </rPr>
          <t xml:space="preserve">
</t>
        </r>
      </text>
    </comment>
    <comment ref="I126" authorId="3" shapeId="0" xr:uid="{56C7CBE5-ECE8-47D9-B2E9-F75415F62B9D}">
      <text>
        <r>
          <rPr>
            <b/>
            <sz val="9"/>
            <color rgb="FF000000"/>
            <rFont val="Segoe UI"/>
            <family val="2"/>
          </rPr>
          <t>Preencher na ABA DADOS BÁSICOS</t>
        </r>
        <r>
          <rPr>
            <b/>
            <sz val="9"/>
            <color rgb="FF000000"/>
            <rFont val="Segoe UI"/>
            <family val="2"/>
          </rPr>
          <t xml:space="preserve">
</t>
        </r>
      </text>
    </comment>
    <comment ref="I127" authorId="3" shapeId="0" xr:uid="{C1460F39-2E59-44F6-A4D0-D4C14B9AD4B8}">
      <text>
        <r>
          <rPr>
            <b/>
            <sz val="9"/>
            <color rgb="FF000000"/>
            <rFont val="Segoe UI"/>
            <family val="2"/>
          </rPr>
          <t>IDEM MEMÓRIA DE CÁLCULO REF 1º ANO.</t>
        </r>
      </text>
    </comment>
    <comment ref="I128" authorId="3" shapeId="0" xr:uid="{4666C9C7-A01B-47D3-BA4B-1992EC0079B5}">
      <text>
        <r>
          <rPr>
            <sz val="9"/>
            <color rgb="FF000000"/>
            <rFont val="Segoe UI"/>
            <family val="2"/>
          </rPr>
          <t>Valor referente ao equipamento dos SUBSTITUTOS que irão cobrir as férias, como não há como fornecer parte de um equipamento adotou-se, para este quesito, dividir o nº de postos pela quantidade de postos que cada substituto pode cobrir no 4º ANO, arredondado para cima a qtd de SUBSTITUTOS ferista, assim,  46/11 = 4,18 - arredondado para cima a qtd de SUBSTITUTOS =5, assim, por exemplo 4,18 SUBSTITUTOS, para fins de uniforme é considerado 5 terceirizados. 
Como a quantidade de equipamentos é fixa por local e seu valor advém do rateio deste valor pelo nº de terceirizados alocados no contrato, o valor referente ao ferista (terceirizados não presentes no cálculo de quantidade de postos) será um valor negativo a diminuir do todo, pois está se incluindo quantidades ao divisor.
Para cálculo de equipamentos dos substituto de férias será considerado 5 terceirizados.
Custo do equipamento para cada posto, levando-se em conta que este custo deve ser dividido pelo total de postos em cada local e que os feristas somam ao divisor, ou seja, como se houvessem mais 5 postos.
cálculo do valor para equipamentos dos feristas = vlr mensal do equipamento / nº de postos no local (recepcionistas; telefonistas; recepcionista feristas; telefonista ferista) - vlr do equipamento rateado entre a qtd de postos para o local) - vlr mensal do equipamento.</t>
        </r>
      </text>
    </comment>
    <comment ref="B138" authorId="2" shapeId="0" xr:uid="{F6AF75D1-5480-488B-8D87-43A2C9A08F5D}">
      <text>
        <r>
          <rPr>
            <sz val="10"/>
            <color rgb="FF000000"/>
            <rFont val="Times New Roman"/>
            <family val="1"/>
          </rPr>
          <t xml:space="preserve">BASE DE CÁLCULO DOS CUSTOS INDIRETOS  = (Soma dos Módulos 1, 2, 3, 4 e 5).  </t>
        </r>
        <r>
          <rPr>
            <b/>
            <sz val="10"/>
            <color rgb="FF000000"/>
            <rFont val="Times New Roman"/>
            <family val="1"/>
          </rPr>
          <t>Max 5% TCU Acórdão nº 1753/2008- Plenário</t>
        </r>
      </text>
    </comment>
    <comment ref="B139" authorId="2" shapeId="0" xr:uid="{451522A5-25F7-428C-8673-E0D9972358F4}">
      <text>
        <r>
          <rPr>
            <sz val="10"/>
            <color rgb="FF000000"/>
            <rFont val="Times New Roman"/>
            <family val="1"/>
          </rPr>
          <t xml:space="preserve">BASE DE CÁLCULO DO LUCRO = (Soma dos Módulos 1, 2, 3, 4 e 5) + Custos Indiretos.  </t>
        </r>
        <r>
          <rPr>
            <b/>
            <sz val="10"/>
            <color rgb="FF000000"/>
            <rFont val="Times New Roman"/>
            <family val="1"/>
          </rPr>
          <t>Max 5% TCU Acórdão nº 1753/2008- Plenário</t>
        </r>
      </text>
    </comment>
    <comment ref="H140" authorId="1" shapeId="0" xr:uid="{D24C29E6-45FD-449A-98B2-FDA09214E640}">
      <text>
        <r>
          <rPr>
            <sz val="10"/>
            <color rgb="FF000000"/>
            <rFont val="Times New Roman"/>
            <family val="1"/>
          </rPr>
          <t>IDEM MEMÓRIA DE CÁLCULO REF 1º ANO.</t>
        </r>
      </text>
    </comment>
  </commentList>
</comments>
</file>

<file path=xl/sharedStrings.xml><?xml version="1.0" encoding="utf-8"?>
<sst xmlns="http://schemas.openxmlformats.org/spreadsheetml/2006/main" count="5388" uniqueCount="296">
  <si>
    <t>PLANILHA DA ADMINISTRAÇÃO</t>
  </si>
  <si>
    <t>Grupo</t>
  </si>
  <si>
    <t>Item</t>
  </si>
  <si>
    <t>Descrição</t>
  </si>
  <si>
    <t>Unidade</t>
  </si>
  <si>
    <t>Quantidade de Postos</t>
  </si>
  <si>
    <t>Qtd. de Pessoas por Posto</t>
  </si>
  <si>
    <t>Valor Total Mensal Estimado dos Postos</t>
  </si>
  <si>
    <t>Valor Global (contrato de 12 meses)</t>
  </si>
  <si>
    <t>SERVIÇOS DE APOIO ADMINISTRATIVO</t>
  </si>
  <si>
    <t>Local</t>
  </si>
  <si>
    <t>CBO</t>
  </si>
  <si>
    <t>Nomenclatura</t>
  </si>
  <si>
    <t>Nº CCT, ACT</t>
  </si>
  <si>
    <t>Data-Base</t>
  </si>
  <si>
    <t>Carga Horária para salário base</t>
  </si>
  <si>
    <t>Salário Base</t>
  </si>
  <si>
    <t>ISS</t>
  </si>
  <si>
    <t>Curitiba/PR</t>
  </si>
  <si>
    <t>Guarapuava/PR</t>
  </si>
  <si>
    <t>Londrina/PR</t>
  </si>
  <si>
    <t>Maringá/PR</t>
  </si>
  <si>
    <t>Paranaguá/PR</t>
  </si>
  <si>
    <t>Ponta Grossa/PR</t>
  </si>
  <si>
    <t>4221-05</t>
  </si>
  <si>
    <t>Recepcionista</t>
  </si>
  <si>
    <t>4222-05</t>
  </si>
  <si>
    <t>Telefonista</t>
  </si>
  <si>
    <t>LUCRO PRESUMIDO</t>
  </si>
  <si>
    <t>LUCRO REAL</t>
  </si>
  <si>
    <t>PIS</t>
  </si>
  <si>
    <t>COFINS</t>
  </si>
  <si>
    <t>INSS</t>
  </si>
  <si>
    <t>SALARIO EDUCAÇÃO</t>
  </si>
  <si>
    <t>SAT (RAT X FAP)</t>
  </si>
  <si>
    <t>SESC ou SESI</t>
  </si>
  <si>
    <t>SENAI ou SENAC</t>
  </si>
  <si>
    <t>SEBRAE</t>
  </si>
  <si>
    <t>INCRA</t>
  </si>
  <si>
    <t>FGTS</t>
  </si>
  <si>
    <t>Uniformes</t>
  </si>
  <si>
    <t>Valor Unitário</t>
  </si>
  <si>
    <t>Valor Total Anual</t>
  </si>
  <si>
    <t>Camisa Polo</t>
  </si>
  <si>
    <t>Materiais</t>
  </si>
  <si>
    <t>Qtde Anual
por funcionário</t>
  </si>
  <si>
    <t>Valor Total</t>
  </si>
  <si>
    <t>Equipamentos</t>
  </si>
  <si>
    <t>Qtde Anual
por Endereço</t>
  </si>
  <si>
    <t>Qtde Estimada
de Endereços</t>
  </si>
  <si>
    <t>Depreciação A.A (10%)</t>
  </si>
  <si>
    <t>Valor Mensal
Depreciação</t>
  </si>
  <si>
    <t>Relógio Ponto Biométrico</t>
  </si>
  <si>
    <r>
      <rPr>
        <b/>
        <sz val="11"/>
        <color rgb="FF000000"/>
        <rFont val="Segoe UI Light"/>
        <family val="2"/>
      </rPr>
      <t>PLANILHA DE CUSTOS E FORMAÇÃO DE PREÇOS</t>
    </r>
    <r>
      <rPr>
        <b/>
        <sz val="11"/>
        <color rgb="FF000000"/>
        <rFont val="Segoe UI Light"/>
        <family val="2"/>
      </rPr>
      <t xml:space="preserve">
</t>
    </r>
    <r>
      <rPr>
        <sz val="11"/>
        <color rgb="FF000000"/>
        <rFont val="Segoe UI Light"/>
        <family val="2"/>
      </rPr>
      <t xml:space="preserve">(Redação dada pela Instrução Normativa nº 05, de 25 de maio de 2017, com modificações pertinentes  trazidas pela Instrução Normativa nº 07/2018).
</t>
    </r>
  </si>
  <si>
    <t>Nº Processo:</t>
  </si>
  <si>
    <t>Licitação Nº  _______/2020</t>
  </si>
  <si>
    <t>Dia __/___/2020 às ___:___ horas</t>
  </si>
  <si>
    <t>Discriminação dos Serviços (dados referentes à contratação)</t>
  </si>
  <si>
    <t>A</t>
  </si>
  <si>
    <t>Data de apresentação da proposta (dia/mês/ano)</t>
  </si>
  <si>
    <t>B</t>
  </si>
  <si>
    <t>Município/UF de prestação dos serviços</t>
  </si>
  <si>
    <t>C</t>
  </si>
  <si>
    <t>Ano do acordo coletivo, convenção coletiva ou sentença normativa em dissídio coletivo</t>
  </si>
  <si>
    <t>D</t>
  </si>
  <si>
    <t>Número de meses de execução contratual</t>
  </si>
  <si>
    <t>E</t>
  </si>
  <si>
    <t>Quantidade Estimada de Postos</t>
  </si>
  <si>
    <t>Dados complementares para composição dos custos referente à mão de obra</t>
  </si>
  <si>
    <t>Tipo de serviço (mesmo serviço com características distintas)</t>
  </si>
  <si>
    <t>APOIO ADMINISTRATIVO</t>
  </si>
  <si>
    <t>Classificação Brasileira de Ocupações (CBO)</t>
  </si>
  <si>
    <t>Salário normativo da categoria profissional</t>
  </si>
  <si>
    <t>Categoria profissional (vinculada à execução contratual)</t>
  </si>
  <si>
    <t>Data base da categoria (dia/mês/ano)</t>
  </si>
  <si>
    <t>Dias estimados de trabalho por mês</t>
  </si>
  <si>
    <t>MÓDULO 1: COMPOSIÇÃO DA REMUNERAÇÃO</t>
  </si>
  <si>
    <t>Composição da remuneração</t>
  </si>
  <si>
    <t>Percentual (%)</t>
  </si>
  <si>
    <t>Valor (R$)</t>
  </si>
  <si>
    <t>Adicional de periculosidade (incide sobre o salário base)</t>
  </si>
  <si>
    <t>Adicional de insalubridade (incide sobre o salário base)</t>
  </si>
  <si>
    <t>Adicional noturno</t>
  </si>
  <si>
    <t>Adicional de hora noturna reduzida</t>
  </si>
  <si>
    <t>F</t>
  </si>
  <si>
    <t>TOTAL</t>
  </si>
  <si>
    <t>MÓDULO 2 : ENCARGOS E BENEFÍCIOS ANUAIS, MENSAIS E DIÁRIOS</t>
  </si>
  <si>
    <t>2.1</t>
  </si>
  <si>
    <t>13º (décimo terceiro) salário, férias e adicional de férias</t>
  </si>
  <si>
    <t xml:space="preserve">Percentual </t>
  </si>
  <si>
    <t>13º (décimo terceiro) salário</t>
  </si>
  <si>
    <t>Férias e Adicional de Férias</t>
  </si>
  <si>
    <t>BASE DE CÁLCULO PARA O MÓDULO 2.2</t>
  </si>
  <si>
    <t>MÓDULO 1</t>
  </si>
  <si>
    <t>MÓDULO 2</t>
  </si>
  <si>
    <t>MÓDULO 3</t>
  </si>
  <si>
    <t>MÓDULO 4</t>
  </si>
  <si>
    <t>MÓDULO 5</t>
  </si>
  <si>
    <t>MÓDULO 6</t>
  </si>
  <si>
    <t>MÓDULO 2.1</t>
  </si>
  <si>
    <t>MÓDULO 2.2</t>
  </si>
  <si>
    <t>MÓDULO 2.3</t>
  </si>
  <si>
    <t>MÓDULO 2.4</t>
  </si>
  <si>
    <t>MÓDULO 2.5</t>
  </si>
  <si>
    <t>MÓDULO 2.6</t>
  </si>
  <si>
    <t>SUBMÓDULO 2.2 - ENCARGOS PREVIDENCIÁRIOS (GPS), FUNFO DE GARANTIA POR TEMPO DE
 SERVIÇO E OUTRAS CONTRIBUIÇÕES</t>
  </si>
  <si>
    <t>2.2</t>
  </si>
  <si>
    <t>GPS, FGTS e Outras Contribuições</t>
  </si>
  <si>
    <t>Salário educação</t>
  </si>
  <si>
    <t>Seguro acidente de trabalho (RAT x FAP)</t>
  </si>
  <si>
    <t>G</t>
  </si>
  <si>
    <t>H</t>
  </si>
  <si>
    <t>SUBMÓDULO 2.3 - BENEFÍCIOS MENSAIS E DIÁRIOS</t>
  </si>
  <si>
    <t>2.3</t>
  </si>
  <si>
    <t>Benefícios mensais e diários</t>
  </si>
  <si>
    <t>Transporte</t>
  </si>
  <si>
    <t>A.1) Valor da passagem do transporte coletivo no município de prestação dos serviços:</t>
  </si>
  <si>
    <t>A.2) Quantidade de passagens por mês por empregado:</t>
  </si>
  <si>
    <t>A.3) Percentual do desconto no Salário Base:</t>
  </si>
  <si>
    <t>Auxílio-Refeição/Alimentação</t>
  </si>
  <si>
    <t>Quadro-resumo - Módulo 2 - Encargos e Benefícios Anuais, Mensais e Diários</t>
  </si>
  <si>
    <t>Módulo 2 - Encargos e Benefícios Anuais, Mensais e Diários</t>
  </si>
  <si>
    <t>MÓDULO 3 - PROVISÃO PARA RESCISÃO</t>
  </si>
  <si>
    <t>Provisão para recisão</t>
  </si>
  <si>
    <t>Aviso-prévio indenizado</t>
  </si>
  <si>
    <t>Incidência do FGTS sobre o aviso-prévio indenizado</t>
  </si>
  <si>
    <t>Multa sobre o FGTS sobre o aviso prévio indenizado</t>
  </si>
  <si>
    <t>Aviso-previo trabalhado</t>
  </si>
  <si>
    <t>Incidência dos encargos de GPS, FGTS e outras contribuições sobre o aviso prévio trabalhado</t>
  </si>
  <si>
    <t>Multa sobre o FGTS sobre o aviso-prévio trabalhado</t>
  </si>
  <si>
    <t>BASE DE CÁLCULO PARA O MÓDULO 4 = MÓDULO 1 + MÓDULO 2 + MÓDULO 3</t>
  </si>
  <si>
    <t>MÓDULO 4 - CUSTO DE REPOSIÇÃO DO PROFISSIONAL AUSENTE</t>
  </si>
  <si>
    <t>4.1</t>
  </si>
  <si>
    <t>Substituto nas Ausências Legais</t>
  </si>
  <si>
    <t>Dias estimados
afastamento ao ano</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</si>
  <si>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</si>
  <si>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</si>
  <si>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</si>
  <si>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</si>
  <si>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</si>
  <si>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4.2</t>
  </si>
  <si>
    <t xml:space="preserve">Substituto na Intrajornada </t>
  </si>
  <si>
    <t>Substituto na cobertura de Intervalo para repouso ou alimentação</t>
  </si>
  <si>
    <t>Quadro-resumo - Módulo 4 - Custo de Reposição do Profissional Ausente</t>
  </si>
  <si>
    <t>Módulo 4 - Custo de Reposição do Profissional Ausente</t>
  </si>
  <si>
    <t>Substituto na Intrajornada</t>
  </si>
  <si>
    <t>MÓDULO 5: INSUMOS DIVERSOS</t>
  </si>
  <si>
    <t>Insumos diversos</t>
  </si>
  <si>
    <t>BASE DE CÁLCULO PARA O MÓDULO 6 = MÓDULO 1 + MÓDULO 2 = MÓDULO 3
 + MÓDULO 4 + MÓDULO 5</t>
  </si>
  <si>
    <t>MÓDULO 6 - CUSTOS INDIRETOS, TRIBUTOS E LUCRO</t>
  </si>
  <si>
    <t>Custos indiretos, tributos e lucro</t>
  </si>
  <si>
    <t>Custos Indiretos (Percentual da empresa)</t>
  </si>
  <si>
    <t>Lucro (Percentual da empresa)</t>
  </si>
  <si>
    <t>Tributos</t>
  </si>
  <si>
    <t>a) Cofins</t>
  </si>
  <si>
    <t>b) PIS</t>
  </si>
  <si>
    <t>a) ISS</t>
  </si>
  <si>
    <t>2. QUADRO-RESUMO DO CUSTO POR EMPREGADO</t>
  </si>
  <si>
    <t>Mão de obra vinculada à execução contratual (valor por empregado)</t>
  </si>
  <si>
    <t>Módulo 1 - Composição da remuneração</t>
  </si>
  <si>
    <t>Módulo 3 - Provisão para Rescisão</t>
  </si>
  <si>
    <t>Módulo 5 - Insumos diversos</t>
  </si>
  <si>
    <t>Subtotal (A + B + C + D + E)</t>
  </si>
  <si>
    <t>Módulo 6 - Custos indiretos, tributos e lucro</t>
  </si>
  <si>
    <t>Valor total por empregado</t>
  </si>
  <si>
    <t>3. QUADRO-RESUMO DO VALOR MENSAL ESTIMADO DOS SERVIÇOS</t>
  </si>
  <si>
    <t>Qtde Emp</t>
  </si>
  <si>
    <t>Valor unitário Mensal / Posto</t>
  </si>
  <si>
    <t>Blusas de lã</t>
  </si>
  <si>
    <t>Jaquetas de Nylon</t>
  </si>
  <si>
    <t>PR000326/2021</t>
  </si>
  <si>
    <t>Outros: Horas Extras - Item 4.18 do ETP</t>
  </si>
  <si>
    <t>Quantidade estimada:</t>
  </si>
  <si>
    <t>Serviços de Apoio Administrativo - Recepção</t>
  </si>
  <si>
    <t>Serviços de Apoio Administrativo - Telefonista</t>
  </si>
  <si>
    <t>HORA EXTRA - RECEPCIONISTAS</t>
  </si>
  <si>
    <t>Qtde total 
mensal estimada</t>
  </si>
  <si>
    <t>SIEMACOxSEAC</t>
  </si>
  <si>
    <t>Serviços de Apoio Administrativo - UASG 200364 - SR/PF/PR</t>
  </si>
  <si>
    <t>Quantidade total estimada</t>
  </si>
  <si>
    <t>Calça/Saia Jeans</t>
  </si>
  <si>
    <t>Valor Total Anual Estimado do custo de uniforme no 1º ano do contrato</t>
  </si>
  <si>
    <t>Valor Anual Estimado custo uniforme 1º ano do contrato por funcionário</t>
  </si>
  <si>
    <t>b1</t>
  </si>
  <si>
    <t>b2</t>
  </si>
  <si>
    <t>b3</t>
  </si>
  <si>
    <t>b4</t>
  </si>
  <si>
    <t>b5</t>
  </si>
  <si>
    <t>Adicional de férias do titular</t>
  </si>
  <si>
    <t>Fundo de Fomação Profissional</t>
  </si>
  <si>
    <t>Benefício Familiar</t>
  </si>
  <si>
    <t>Auxílio Saúde</t>
  </si>
  <si>
    <t>Vale Alimentação</t>
  </si>
  <si>
    <t>Sindicatos Envolvidos</t>
  </si>
  <si>
    <t>Vale Transporte Unitário</t>
  </si>
  <si>
    <t>Vale Alimentação Férias</t>
  </si>
  <si>
    <t>Qtd. Pessoas / Posto</t>
  </si>
  <si>
    <t>Qtd de Postos</t>
  </si>
  <si>
    <t>I</t>
  </si>
  <si>
    <t>J</t>
  </si>
  <si>
    <t>Alimentação do substituto na cobertura de férias</t>
  </si>
  <si>
    <t>Alimentação de férias do substituto na cobertura de férias</t>
  </si>
  <si>
    <t>Auxílio Saúde do substituto na cobertura de férias</t>
  </si>
  <si>
    <t>Benefício Familiar do substituto na cobertura de férias</t>
  </si>
  <si>
    <t>fundo de Fomação Profissional do substituto na cobertura de férias</t>
  </si>
  <si>
    <t>Remuneração do substituto na cobertura de férias</t>
  </si>
  <si>
    <t>Férias Proporcionais do substituto na cobertura de férias</t>
  </si>
  <si>
    <t>Adicional de Férias Proporcionais do substituto na cobertura de férias</t>
  </si>
  <si>
    <t>13º (décimo terceiro) Salário do substituto na cobertura de férias</t>
  </si>
  <si>
    <t>Uniformes do substituto na cobertura de férias</t>
  </si>
  <si>
    <t>Equipamentos do substituto na cobertura de férias</t>
  </si>
  <si>
    <t>Ausência Justificada</t>
  </si>
  <si>
    <t>Afastamento por Doença</t>
  </si>
  <si>
    <t>Consulta médica filho</t>
  </si>
  <si>
    <t>Óbitos na família</t>
  </si>
  <si>
    <t>Casamento</t>
  </si>
  <si>
    <t>Doação de sangue</t>
  </si>
  <si>
    <t>Testemunho</t>
  </si>
  <si>
    <t>Consulta pré-natal</t>
  </si>
  <si>
    <t>a1</t>
  </si>
  <si>
    <t>Uniformes dos titulares</t>
  </si>
  <si>
    <t>a2</t>
  </si>
  <si>
    <t>a3</t>
  </si>
  <si>
    <t>Uniformes do substituto na cobertura de ausências legais</t>
  </si>
  <si>
    <t>c1</t>
  </si>
  <si>
    <t>c2</t>
  </si>
  <si>
    <t>Equipamentos dos titulares</t>
  </si>
  <si>
    <t>Equipamentos do substituto na cobertura de ausências legais</t>
  </si>
  <si>
    <t>a4</t>
  </si>
  <si>
    <t>a5</t>
  </si>
  <si>
    <t>a6</t>
  </si>
  <si>
    <t>a7</t>
  </si>
  <si>
    <t>a8</t>
  </si>
  <si>
    <t>Carga horária base para salário normativo</t>
  </si>
  <si>
    <t>Carga horária da contratação</t>
  </si>
  <si>
    <t>Salário-base para a carga horária da contratação</t>
  </si>
  <si>
    <t>Carga Horária da Contratação</t>
  </si>
  <si>
    <t>Dias Estimados de  Trabalho por mês</t>
  </si>
  <si>
    <t>Prazo do Contrato / Mês</t>
  </si>
  <si>
    <t>QTD Dias</t>
  </si>
  <si>
    <t>Qtde por posto mensal estimada</t>
  </si>
  <si>
    <t>Posto</t>
  </si>
  <si>
    <t xml:space="preserve">% participação empregado p/ VA </t>
  </si>
  <si>
    <t>Qtd de VT por Posto/Mês</t>
  </si>
  <si>
    <t>% demitidos que CUMPREM o aviso prévio</t>
  </si>
  <si>
    <t>% demitidos que NÃO cumprem o aviso prévio</t>
  </si>
  <si>
    <t>Valor Mensal Estimado custo uniforme 1º ano do contrato por funcionário Titular</t>
  </si>
  <si>
    <t>Custos Indiretos (% da empresa)</t>
  </si>
  <si>
    <t>Lucro (% da empres)</t>
  </si>
  <si>
    <r>
      <t xml:space="preserve">Escolha o Regime de tibutação </t>
    </r>
    <r>
      <rPr>
        <b/>
        <sz val="14"/>
        <color rgb="FFFFFFFF"/>
        <rFont val="Segoe UI Light"/>
        <family val="2"/>
      </rPr>
      <t>↓↓↓↓↓↓</t>
    </r>
  </si>
  <si>
    <t>ENCARGOS</t>
  </si>
  <si>
    <t xml:space="preserve">Hora Extra 50% </t>
  </si>
  <si>
    <r>
      <rPr>
        <b/>
        <sz val="12"/>
        <color rgb="FFFFFFFF"/>
        <rFont val="Segoe UI Light"/>
        <family val="2"/>
      </rPr>
      <t>UNIFORMES</t>
    </r>
    <r>
      <rPr>
        <b/>
        <sz val="11"/>
        <color rgb="FFFFFFFF"/>
        <rFont val="Segoe UI Light"/>
        <family val="2"/>
      </rPr>
      <t xml:space="preserve"> (Preencher os valores unitários ↓↓↓↓↓↓)</t>
    </r>
  </si>
  <si>
    <t>EQUIPAMENTOS (Preencher o valore unitário ↓↓↓↓↓↓)</t>
  </si>
  <si>
    <t>Materiais (Preencher caso houver)</t>
  </si>
  <si>
    <t>Cálculo dos Dias Estimados de Ausências Legais (Preencher o valore unitário ↓↓↓↓↓↓)</t>
  </si>
  <si>
    <t>B.1) Valor do vale refeição diário conforme CCT</t>
  </si>
  <si>
    <t>B.3) Percentual do desconto no Salário Base: %/ valor do vale refeição</t>
  </si>
  <si>
    <t>B..2) Quantidade de vales por mês por empregado:</t>
  </si>
  <si>
    <t>Cálculo dos Dias Estimados de Ausências Legais no Ano  (Preencher o valore unitário ↓↓↓↓↓↓)</t>
  </si>
  <si>
    <t>MEMÓRIA DE CÁLCULO 2º ANO - REFERÊNCIA PARA TODOS OS POSTOS NO 2º ANO DE EXECUÇÃO CONTRATUAL. ***ESTA PLANILHA É PARA SIMPLES VERIFICAÇÃO DE COMO SERÁ A EVOLUÇÃO, NÃO DEVE SER UTILIZADA PARA A FORMAÇÃO DA PROPOSTA A SER APRESENTADA NA LICITAÇÃO.</t>
  </si>
  <si>
    <t>MEMÓRIA DE CÁLCULO 1º ANO - REFERÊNCIA PARA TODOS OS POSTOS NO 1º ANO DE EXECUÇÃO CONTRATUAL. ***ESTA PLANILHA REFERENTE AO 1º ANO DE CONTRATO É A QUE DEVE SER APRESENTADA NA FORMAÇÃO DA PROPOSTA A SER APRESENTADA NA LICITAÇÃO.</t>
  </si>
  <si>
    <t>Valor Total Anual Estimado do custo de uniforme no 2º ano do contrato</t>
  </si>
  <si>
    <t>Valor Anual Estimado custo uniforme 2º ano do contrato por funcionário</t>
  </si>
  <si>
    <t>Valor Mensal Estimado custo uniforme 2º ano do contrato por funcionário Titular</t>
  </si>
  <si>
    <t>MEMÓRIA DE CÁLCULO 3º ANO - REFERÊNCIA PARA TODOS OS POSTOS NO 3º ANO DE EXECUÇÃO CONTRATUAL. ***ESTA PLANILHA É PARA SIMPLES VERIFICAÇÃO DE COMO SERÁ A EVOLUÇÃO, NÃO DEVE SER UTILIZADA PARA A FORMAÇÃO DA PROPOSTA A SER APRESENTADA NA LICITAÇÃO.</t>
  </si>
  <si>
    <t>b2.1</t>
  </si>
  <si>
    <t>Complemento da remuneração do substituto na cobertura de férias</t>
  </si>
  <si>
    <t>f1</t>
  </si>
  <si>
    <t>Complementação Alimentação do substituto na cobertura de férias</t>
  </si>
  <si>
    <t>MEMÓRIA DE CÁLCULO 4º ANO - REFERÊNCIA PARA TODOS OS POSTOS NO 4º ANO DE EXECUÇÃO CONTRATUAL. ***ESTA PLANILHA É PARA SIMPLES VERIFICAÇÃO DE COMO SERÁ A EVOLUÇÃO, NÃO DEVE SER UTILIZADA PARA A FORMAÇÃO DA PROPOSTA A SER APRESENTADA NA LICITAÇÃO.</t>
  </si>
  <si>
    <t>Alimentação de férias do Titular</t>
  </si>
  <si>
    <t>MEMÓRIA DE CÁLCULO 5º ANO - REFERÊNCIA PARA TODOS OS POSTOS NO 5º ANO DE EXECUÇÃO CONTRATUAL. ***ESTA PLANILHA É PARA SIMPLES VERIFICAÇÃO DE COMO SERÁ A EVOLUÇÃO, NÃO DEVE SER UTILIZADA PARA A FORMAÇÃO DA PROPOSTA A SER APRESENTADA NA LICITAÇÃO.</t>
  </si>
  <si>
    <t>Alimentação de férias do TITULAR</t>
  </si>
  <si>
    <t>Remuneração de férias do TITULAR</t>
  </si>
  <si>
    <t>Remuneração de férias do Titular</t>
  </si>
  <si>
    <t>PREENCHER OU ALTERAR AS CÉLULAS NA COR VERDE</t>
  </si>
  <si>
    <t>INSTRUÇÕES PARA O CORRETO PREENCHIMENTO DOS DADOS QUE FORMARÃO A PROPOSTA / AVISOS PARA O CORRETO PREENCHIMENTO E CÁLCULO DA FORMAÇÃO DE CUSTOS.</t>
  </si>
  <si>
    <r>
      <t xml:space="preserve">Escolha o Regime de tibutação </t>
    </r>
    <r>
      <rPr>
        <b/>
        <sz val="14"/>
        <color rgb="FFFFFFFF"/>
        <rFont val="Arial Black"/>
        <family val="2"/>
      </rPr>
      <t>↓↓↓↓↓↓</t>
    </r>
  </si>
  <si>
    <r>
      <rPr>
        <b/>
        <sz val="12"/>
        <color rgb="FFFFFFFF"/>
        <rFont val="Arial Black"/>
        <family val="2"/>
      </rPr>
      <t>UNIFORMES</t>
    </r>
    <r>
      <rPr>
        <b/>
        <sz val="11"/>
        <color rgb="FFFFFFFF"/>
        <rFont val="Arial Black"/>
        <family val="2"/>
      </rPr>
      <t xml:space="preserve"> (Preencher os valores unitários ↓↓↓↓↓↓)</t>
    </r>
  </si>
  <si>
    <t>PROCESSO</t>
  </si>
  <si>
    <t>PREGÃO ELETRÔNICO Nº</t>
  </si>
  <si>
    <t>DATA DA SESSÃO PÚBLICA</t>
  </si>
  <si>
    <t>08385.000738/2021-44</t>
  </si>
  <si>
    <t>01/2021</t>
  </si>
  <si>
    <t>LICITAÇÃO:</t>
  </si>
  <si>
    <t>HORA DA ABERTURA</t>
  </si>
  <si>
    <t>PROCESSO:</t>
  </si>
  <si>
    <t>DATA:</t>
  </si>
  <si>
    <t>HORAS:</t>
  </si>
  <si>
    <t>Valor Total Anual Estimado do custo de uniforme no 3º ano do contrato</t>
  </si>
  <si>
    <t>Valor Anual Estimado custo uniforme 3º ano do contrato por funcionário</t>
  </si>
  <si>
    <t>Valor Mensal Estimado custo uniforme 3º ano do contrato por funcionário Titular</t>
  </si>
  <si>
    <t>Valor Total Anual Estimado do custo de uniforme no 4º ano do contrato</t>
  </si>
  <si>
    <t>Valor Anual Estimado custo uniforme 4º ano do contrato por funcionário</t>
  </si>
  <si>
    <t>Valor Mensal Estimado custo uniforme 4º ano do contrato por funcionário Titular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</si>
</sst>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R$-416]&quot; &quot;#,##0.00"/>
    <numFmt numFmtId="165" formatCode="0.0000"/>
    <numFmt numFmtId="166" formatCode="&quot;R$ &quot;#,##0.00"/>
    <numFmt numFmtId="167" formatCode="&quot; R$ &quot;#,##0.00&quot; &quot;;&quot;-R$ &quot;#,##0.00&quot; &quot;;&quot; R$ -&quot;00&quot; &quot;;&quot; &quot;@&quot; &quot;"/>
    <numFmt numFmtId="168" formatCode="0.0%"/>
    <numFmt numFmtId="169" formatCode="0.0000%"/>
    <numFmt numFmtId="170" formatCode="&quot; R$ &quot;#,##0.00&quot; &quot;;&quot; R$ (&quot;#,##0.00&quot;)&quot;;&quot; R$ -&quot;00&quot; &quot;;&quot; &quot;@&quot; &quot;"/>
    <numFmt numFmtId="171" formatCode="&quot; &quot;[$R$-416]&quot; &quot;#,##0.00&quot; &quot;;&quot;-&quot;[$R$-416]&quot; &quot;#,##0.00&quot; &quot;;&quot; &quot;[$R$-416]&quot; -&quot;00&quot; &quot;;&quot; &quot;@&quot; &quot;"/>
    <numFmt numFmtId="172" formatCode="&quot; &quot;#,##0.00&quot; &quot;;&quot; (&quot;#,##0.00&quot;)&quot;;&quot; -&quot;00&quot; &quot;;&quot; &quot;@&quot; &quot;"/>
    <numFmt numFmtId="173" formatCode="[$R$-416]\ #,##0.00"/>
    <numFmt numFmtId="174" formatCode="[$R$-416]\ #,##0.00;[Red]\-[$R$-416]\ #,##0.00"/>
    <numFmt numFmtId="175" formatCode="[$R$-416]\ #,##0.000"/>
    <numFmt numFmtId="176" formatCode="[$R$-416]\ #,##0.00;\-[$R$-416]\ #,##0.00"/>
    <numFmt numFmtId="177" formatCode="0.0000000"/>
    <numFmt numFmtId="178" formatCode="h:mm;@"/>
  </numFmts>
  <fonts count="57">
    <font>
      <sz val="10"/>
      <color rgb="FF000000"/>
      <name val="Arial"/>
      <family val="2"/>
    </font>
    <font>
      <sz val="10"/>
      <color rgb="FF000000"/>
      <name val="Arial"/>
      <family val="2"/>
    </font>
    <font>
      <sz val="11"/>
      <color rgb="FF008000"/>
      <name val="Calibri"/>
      <family val="2"/>
    </font>
    <font>
      <sz val="11"/>
      <color rgb="FF800000"/>
      <name val="Calibri"/>
      <family val="2"/>
    </font>
    <font>
      <sz val="11"/>
      <color rgb="FF993366"/>
      <name val="Calibri"/>
      <family val="2"/>
    </font>
    <font>
      <b/>
      <sz val="11"/>
      <color rgb="FF993300"/>
      <name val="Calibri"/>
      <family val="2"/>
    </font>
    <font>
      <b/>
      <sz val="11"/>
      <color rgb="FF008000"/>
      <name val="Calibri"/>
      <family val="2"/>
    </font>
    <font>
      <sz val="11"/>
      <color rgb="FF993300"/>
      <name val="Calibri"/>
      <family val="2"/>
    </font>
    <font>
      <sz val="11"/>
      <color rgb="FF333399"/>
      <name val="Calibri"/>
      <family val="2"/>
    </font>
    <font>
      <sz val="11"/>
      <color rgb="FF660066"/>
      <name val="Calibri"/>
      <family val="2"/>
    </font>
    <font>
      <sz val="11"/>
      <color rgb="FF000000"/>
      <name val="Calibri"/>
      <family val="2"/>
    </font>
    <font>
      <sz val="11"/>
      <color rgb="FF000000"/>
      <name val="Arial1"/>
    </font>
    <font>
      <b/>
      <sz val="11"/>
      <color rgb="FF333333"/>
      <name val="Calibri"/>
      <family val="2"/>
    </font>
    <font>
      <b/>
      <sz val="15"/>
      <color rgb="FF003366"/>
      <name val="Calibri"/>
      <family val="2"/>
    </font>
    <font>
      <b/>
      <sz val="13"/>
      <color rgb="FF003366"/>
      <name val="Calibri"/>
      <family val="2"/>
    </font>
    <font>
      <b/>
      <sz val="11"/>
      <color rgb="FF003366"/>
      <name val="Calibri"/>
      <family val="2"/>
    </font>
    <font>
      <b/>
      <sz val="18"/>
      <color rgb="FF003366"/>
      <name val="Cambria"/>
      <family val="1"/>
    </font>
    <font>
      <sz val="11"/>
      <color rgb="FF000080"/>
      <name val="Calibri"/>
      <family val="2"/>
    </font>
    <font>
      <i/>
      <sz val="11"/>
      <color rgb="FFCCCCFF"/>
      <name val="Calibri"/>
      <family val="2"/>
    </font>
    <font>
      <b/>
      <sz val="11"/>
      <color rgb="FF800000"/>
      <name val="Calibri"/>
      <family val="2"/>
    </font>
    <font>
      <b/>
      <u/>
      <sz val="16"/>
      <color rgb="FF000000"/>
      <name val="Segoe UI Light"/>
      <family val="2"/>
    </font>
    <font>
      <sz val="11"/>
      <color rgb="FF000000"/>
      <name val="Segoe UI Light"/>
      <family val="2"/>
    </font>
    <font>
      <b/>
      <sz val="11"/>
      <color rgb="FFFFFFFF"/>
      <name val="Segoe UI Light"/>
      <family val="2"/>
    </font>
    <font>
      <sz val="10"/>
      <color rgb="FF000000"/>
      <name val="Segoe UI Light"/>
      <family val="2"/>
    </font>
    <font>
      <b/>
      <sz val="9"/>
      <color rgb="FF000000"/>
      <name val="Segoe UI"/>
      <family val="2"/>
    </font>
    <font>
      <sz val="10"/>
      <color rgb="FFFFFFFF"/>
      <name val="Segoe UI Light"/>
      <family val="2"/>
    </font>
    <font>
      <b/>
      <sz val="10"/>
      <color rgb="FF000000"/>
      <name val="Segoe UI Light"/>
      <family val="2"/>
    </font>
    <font>
      <sz val="11"/>
      <color rgb="FFFFFFFF"/>
      <name val="Segoe UI Light"/>
      <family val="2"/>
    </font>
    <font>
      <sz val="12"/>
      <color rgb="FF000000"/>
      <name val="Segoe UI Light"/>
      <family val="2"/>
    </font>
    <font>
      <b/>
      <sz val="11"/>
      <color rgb="FF000000"/>
      <name val="Segoe UI Light"/>
      <family val="2"/>
    </font>
    <font>
      <b/>
      <sz val="10"/>
      <color rgb="FF000000"/>
      <name val="Times New Roman"/>
      <family val="1"/>
    </font>
    <font>
      <sz val="10"/>
      <color rgb="FF000000"/>
      <name val="Times New Roman"/>
      <family val="1"/>
    </font>
    <font>
      <sz val="9"/>
      <color rgb="FF000000"/>
      <name val="Tahoma"/>
      <family val="2"/>
    </font>
    <font>
      <b/>
      <i/>
      <u/>
      <sz val="9"/>
      <color rgb="FF000000"/>
      <name val="Tahoma"/>
      <family val="2"/>
    </font>
    <font>
      <b/>
      <u/>
      <sz val="9"/>
      <color rgb="FF000000"/>
      <name val="Tahoma"/>
      <family val="2"/>
    </font>
    <font>
      <sz val="9"/>
      <color rgb="FF000000"/>
      <name val="Segoe UI"/>
      <family val="2"/>
    </font>
    <font>
      <b/>
      <u/>
      <sz val="10"/>
      <color rgb="FF000000"/>
      <name val="Times New Roman"/>
      <family val="1"/>
    </font>
    <font>
      <sz val="8"/>
      <name val="Arial"/>
      <family val="2"/>
    </font>
    <font>
      <u/>
      <sz val="11"/>
      <color rgb="FF000000"/>
      <name val="Segoe UI Light"/>
      <family val="2"/>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FFFF"/>
      <name val="Segoe UI Light"/>
      <family val="2"/>
    </font>
    <font>
      <b/>
      <sz val="14"/>
      <color rgb="FFFFFFFF"/>
      <name val="Segoe UI Light"/>
      <family val="2"/>
    </font>
    <font>
      <b/>
      <i/>
      <u/>
      <sz val="9"/>
      <color indexed="81"/>
      <name val="Segoe UI"/>
      <family val="2"/>
    </font>
    <font>
      <sz val="12"/>
      <color rgb="FF000000"/>
      <name val="Arial Black"/>
      <family val="2"/>
    </font>
    <font>
      <b/>
      <sz val="12"/>
      <color rgb="FF000000"/>
      <name val="Arial Black"/>
      <family val="2"/>
    </font>
    <font>
      <b/>
      <i/>
      <u/>
      <sz val="10"/>
      <color rgb="FF000000"/>
      <name val="Times New Roman"/>
      <family val="1"/>
    </font>
    <font>
      <b/>
      <i/>
      <u/>
      <sz val="11"/>
      <color rgb="FF000000"/>
      <name val="Segoe UI Light"/>
      <family val="2"/>
    </font>
    <font>
      <b/>
      <u/>
      <sz val="16"/>
      <color rgb="FF000000"/>
      <name val="Arial Black"/>
      <family val="2"/>
    </font>
    <font>
      <b/>
      <sz val="12"/>
      <color rgb="FFFFFFFF"/>
      <name val="Arial Black"/>
      <family val="2"/>
    </font>
    <font>
      <b/>
      <sz val="11"/>
      <color rgb="FFFFFFFF"/>
      <name val="Arial Black"/>
      <family val="2"/>
    </font>
    <font>
      <b/>
      <sz val="9"/>
      <color rgb="FFFFFFFF"/>
      <name val="Arial Black"/>
      <family val="2"/>
    </font>
    <font>
      <sz val="11"/>
      <color rgb="FFFFFFFF"/>
      <name val="Arial Black"/>
      <family val="2"/>
    </font>
    <font>
      <b/>
      <sz val="14"/>
      <color rgb="FFFFFFFF"/>
      <name val="Arial Black"/>
      <family val="2"/>
    </font>
    <font>
      <b/>
      <sz val="10"/>
      <color rgb="FFFFFFFF"/>
      <name val="Arial Black"/>
      <family val="2"/>
    </font>
  </fonts>
  <fills count="44">
    <fill>
      <patternFill patternType="none"/>
    </fill>
    <fill>
      <patternFill patternType="gray125"/>
    </fill>
    <fill>
      <patternFill patternType="solid">
        <fgColor rgb="FF333399"/>
        <bgColor rgb="FF333399"/>
      </patternFill>
    </fill>
    <fill>
      <patternFill patternType="solid">
        <fgColor rgb="FF000080"/>
        <bgColor rgb="FF000080"/>
      </patternFill>
    </fill>
    <fill>
      <patternFill patternType="solid">
        <fgColor rgb="FF339966"/>
        <bgColor rgb="FF339966"/>
      </patternFill>
    </fill>
    <fill>
      <patternFill patternType="solid">
        <fgColor rgb="FF660066"/>
        <bgColor rgb="FF660066"/>
      </patternFill>
    </fill>
    <fill>
      <patternFill patternType="solid">
        <fgColor rgb="FF993366"/>
        <bgColor rgb="FF993366"/>
      </patternFill>
    </fill>
    <fill>
      <patternFill patternType="solid">
        <fgColor rgb="FF0000FF"/>
        <bgColor rgb="FF0000FF"/>
      </patternFill>
    </fill>
    <fill>
      <patternFill patternType="solid">
        <fgColor rgb="FFFF6600"/>
        <bgColor rgb="FFFF6600"/>
      </patternFill>
    </fill>
    <fill>
      <patternFill patternType="solid">
        <fgColor rgb="FF99CC00"/>
        <bgColor rgb="FF99CC00"/>
      </patternFill>
    </fill>
    <fill>
      <patternFill patternType="solid">
        <fgColor rgb="FF666699"/>
        <bgColor rgb="FF666699"/>
      </patternFill>
    </fill>
    <fill>
      <patternFill patternType="solid">
        <fgColor rgb="FF00FFFF"/>
        <bgColor rgb="FF00FFFF"/>
      </patternFill>
    </fill>
    <fill>
      <patternFill patternType="solid">
        <fgColor rgb="FF969696"/>
        <bgColor rgb="FF969696"/>
      </patternFill>
    </fill>
    <fill>
      <patternFill patternType="solid">
        <fgColor rgb="FFFF9900"/>
        <bgColor rgb="FFFF9900"/>
      </patternFill>
    </fill>
    <fill>
      <patternFill patternType="solid">
        <fgColor rgb="FF800000"/>
        <bgColor rgb="FF800000"/>
      </patternFill>
    </fill>
    <fill>
      <patternFill patternType="solid">
        <fgColor rgb="FF808000"/>
        <bgColor rgb="FF808000"/>
      </patternFill>
    </fill>
    <fill>
      <patternFill patternType="solid">
        <fgColor rgb="FF333300"/>
        <bgColor rgb="FF333300"/>
      </patternFill>
    </fill>
    <fill>
      <patternFill patternType="solid">
        <fgColor rgb="FF008080"/>
        <bgColor rgb="FF008080"/>
      </patternFill>
    </fill>
    <fill>
      <patternFill patternType="solid">
        <fgColor rgb="FF993300"/>
        <bgColor rgb="FF993300"/>
      </patternFill>
    </fill>
    <fill>
      <patternFill patternType="solid">
        <fgColor rgb="FF0066CC"/>
        <bgColor rgb="FF0066CC"/>
      </patternFill>
    </fill>
    <fill>
      <patternFill patternType="solid">
        <fgColor rgb="FF333333"/>
        <bgColor rgb="FF333333"/>
      </patternFill>
    </fill>
    <fill>
      <patternFill patternType="solid">
        <fgColor rgb="FFFFCC00"/>
        <bgColor rgb="FFFFCC00"/>
      </patternFill>
    </fill>
    <fill>
      <patternFill patternType="solid">
        <fgColor rgb="FFFFFF00"/>
        <bgColor rgb="FFFFFF00"/>
      </patternFill>
    </fill>
    <fill>
      <patternFill patternType="solid">
        <fgColor rgb="FF0070C0"/>
        <bgColor rgb="FF0070C0"/>
      </patternFill>
    </fill>
    <fill>
      <patternFill patternType="solid">
        <fgColor rgb="FFFFFFFF"/>
        <bgColor rgb="FFFFFFFF"/>
      </patternFill>
    </fill>
    <fill>
      <patternFill patternType="solid">
        <fgColor rgb="FFDBDBDB"/>
        <bgColor rgb="FFDBDBDB"/>
      </patternFill>
    </fill>
    <fill>
      <patternFill patternType="solid">
        <fgColor rgb="FFF2F2F2"/>
        <bgColor rgb="FFF2F2F2"/>
      </patternFill>
    </fill>
    <fill>
      <patternFill patternType="solid">
        <fgColor rgb="FF8EA9DB"/>
        <bgColor rgb="FF8EA9DB"/>
      </patternFill>
    </fill>
    <fill>
      <patternFill patternType="solid">
        <fgColor theme="0" tint="-0.14999847407452621"/>
        <bgColor rgb="FFFFFFFF"/>
      </patternFill>
    </fill>
    <fill>
      <patternFill patternType="solid">
        <fgColor rgb="FFFFFF00"/>
        <bgColor indexed="64"/>
      </patternFill>
    </fill>
    <fill>
      <patternFill patternType="solid">
        <fgColor rgb="FF92D050"/>
        <bgColor indexed="64"/>
      </patternFill>
    </fill>
    <fill>
      <patternFill patternType="solid">
        <fgColor rgb="FF22E4FE"/>
        <bgColor indexed="64"/>
      </patternFill>
    </fill>
    <fill>
      <patternFill patternType="solid">
        <fgColor theme="0" tint="-4.9989318521683403E-2"/>
        <bgColor indexed="64"/>
      </patternFill>
    </fill>
    <fill>
      <patternFill patternType="solid">
        <fgColor theme="0" tint="-4.9989318521683403E-2"/>
        <bgColor rgb="FFFFFFFF"/>
      </patternFill>
    </fill>
    <fill>
      <patternFill patternType="solid">
        <fgColor rgb="FFF828B3"/>
        <bgColor indexed="64"/>
      </patternFill>
    </fill>
    <fill>
      <patternFill patternType="solid">
        <fgColor rgb="FF92D050"/>
        <bgColor rgb="FF0070C0"/>
      </patternFill>
    </fill>
    <fill>
      <patternFill patternType="solid">
        <fgColor rgb="FFF5B22B"/>
        <bgColor indexed="64"/>
      </patternFill>
    </fill>
    <fill>
      <patternFill patternType="solid">
        <fgColor rgb="FF92D050"/>
        <bgColor rgb="FFFFFFFF"/>
      </patternFill>
    </fill>
    <fill>
      <patternFill patternType="solid">
        <fgColor rgb="FFFFFF00"/>
        <bgColor rgb="FFFFFFFF"/>
      </patternFill>
    </fill>
    <fill>
      <patternFill patternType="solid">
        <fgColor rgb="FFF5B22B"/>
        <bgColor rgb="FFFFFFFF"/>
      </patternFill>
    </fill>
    <fill>
      <patternFill patternType="solid">
        <fgColor rgb="FF22E4FE"/>
        <bgColor rgb="FFFFFFFF"/>
      </patternFill>
    </fill>
    <fill>
      <patternFill patternType="solid">
        <fgColor rgb="FFF828B3"/>
        <bgColor rgb="FFFFFFFF"/>
      </patternFill>
    </fill>
    <fill>
      <patternFill patternType="solid">
        <fgColor theme="5"/>
        <bgColor indexed="64"/>
      </patternFill>
    </fill>
    <fill>
      <patternFill patternType="solid">
        <fgColor theme="5"/>
        <bgColor rgb="FFFFFFFF"/>
      </patternFill>
    </fill>
  </fills>
  <borders count="64">
    <border>
      <left/>
      <right/>
      <top/>
      <bottom/>
      <diagonal/>
    </border>
    <border>
      <left style="thin">
        <color rgb="FFCCCCFF"/>
      </left>
      <right style="thin">
        <color rgb="FFCCCCFF"/>
      </right>
      <top style="thin">
        <color rgb="FFCCCCFF"/>
      </top>
      <bottom style="thin">
        <color rgb="FFCCCCFF"/>
      </bottom>
      <diagonal/>
    </border>
    <border>
      <left style="double">
        <color rgb="FF333333"/>
      </left>
      <right style="double">
        <color rgb="FF333333"/>
      </right>
      <top style="double">
        <color rgb="FF333333"/>
      </top>
      <bottom style="double">
        <color rgb="FF333333"/>
      </bottom>
      <diagonal/>
    </border>
    <border>
      <left/>
      <right/>
      <top/>
      <bottom style="double">
        <color rgb="FF993300"/>
      </bottom>
      <diagonal/>
    </border>
    <border>
      <left style="thin">
        <color rgb="FF0066CC"/>
      </left>
      <right style="thin">
        <color rgb="FF0066CC"/>
      </right>
      <top style="thin">
        <color rgb="FF0066CC"/>
      </top>
      <bottom style="thin">
        <color rgb="FF0066CC"/>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0066CC"/>
      </bottom>
      <diagonal/>
    </border>
    <border>
      <left/>
      <right/>
      <top/>
      <bottom style="medium">
        <color rgb="FF008080"/>
      </bottom>
      <diagonal/>
    </border>
    <border>
      <left/>
      <right/>
      <top style="thin">
        <color rgb="FF333399"/>
      </top>
      <bottom style="double">
        <color rgb="FF333399"/>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diagonal/>
    </border>
    <border>
      <left style="thin">
        <color rgb="FF000000"/>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top style="thin">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rgb="FF000000"/>
      </left>
      <right style="medium">
        <color rgb="FF000000"/>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medium">
        <color rgb="FF000000"/>
      </right>
      <top/>
      <bottom style="thin">
        <color rgb="FF000000"/>
      </bottom>
      <diagonal/>
    </border>
    <border>
      <left/>
      <right style="thin">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indexed="64"/>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rgb="FF000000"/>
      </right>
      <top/>
      <bottom/>
      <diagonal/>
    </border>
    <border>
      <left/>
      <right/>
      <top style="thin">
        <color rgb="FF000000"/>
      </top>
      <bottom style="thin">
        <color indexed="64"/>
      </bottom>
      <diagonal/>
    </border>
  </borders>
  <cellStyleXfs count="62">
    <xf numFmtId="0" fontId="0" fillId="0" borderId="0"/>
    <xf numFmtId="167" fontId="1" fillId="0" borderId="0" applyFont="0" applyBorder="0" applyProtection="0"/>
    <xf numFmtId="9" fontId="1" fillId="0" borderId="0" applyFont="0" applyBorder="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2" fillId="17"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5" borderId="0" applyNumberFormat="0" applyBorder="0" applyAlignment="0" applyProtection="0"/>
    <xf numFmtId="0" fontId="2" fillId="4" borderId="0" applyNumberFormat="0" applyBorder="0" applyAlignment="0" applyProtection="0"/>
    <xf numFmtId="0" fontId="2" fillId="18" borderId="0" applyNumberFormat="0" applyBorder="0" applyAlignment="0" applyProtection="0"/>
    <xf numFmtId="0" fontId="4" fillId="9" borderId="0" applyNumberFormat="0" applyBorder="0" applyAlignment="0" applyProtection="0"/>
    <xf numFmtId="0" fontId="5" fillId="19" borderId="1" applyNumberFormat="0" applyAlignment="0" applyProtection="0"/>
    <xf numFmtId="0" fontId="6" fillId="20" borderId="2" applyNumberFormat="0" applyAlignment="0" applyProtection="0"/>
    <xf numFmtId="0" fontId="7" fillId="0" borderId="3" applyNumberFormat="0" applyFill="0" applyAlignment="0" applyProtection="0"/>
    <xf numFmtId="0" fontId="8" fillId="12" borderId="1" applyNumberFormat="0" applyAlignment="0" applyProtection="0"/>
    <xf numFmtId="0" fontId="9" fillId="8" borderId="0" applyNumberFormat="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0" fontId="7" fillId="21" borderId="0" applyNumberFormat="0" applyBorder="0" applyAlignment="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0" fillId="0" borderId="0" applyNumberFormat="0" applyBorder="0" applyProtection="0"/>
    <xf numFmtId="0" fontId="10" fillId="0" borderId="0" applyNumberFormat="0" applyBorder="0" applyProtection="0"/>
    <xf numFmtId="0" fontId="11" fillId="0" borderId="0" applyNumberFormat="0" applyBorder="0" applyProtection="0"/>
    <xf numFmtId="0" fontId="1" fillId="22" borderId="4"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2" fillId="19" borderId="5" applyNumberFormat="0" applyAlignment="0" applyProtection="0"/>
    <xf numFmtId="172" fontId="1" fillId="0" borderId="0" applyFont="0" applyFill="0" applyBorder="0" applyAlignment="0" applyProtection="0"/>
    <xf numFmtId="0" fontId="13" fillId="0" borderId="6" applyNumberFormat="0" applyFill="0" applyAlignment="0" applyProtection="0"/>
    <xf numFmtId="0" fontId="14" fillId="0" borderId="7" applyNumberFormat="0" applyFill="0" applyAlignment="0" applyProtection="0"/>
    <xf numFmtId="0" fontId="15" fillId="0" borderId="8"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9" applyNumberFormat="0" applyFill="0" applyAlignment="0" applyProtection="0"/>
    <xf numFmtId="172" fontId="1" fillId="0" borderId="0" applyFont="0" applyFill="0" applyBorder="0" applyAlignment="0" applyProtection="0"/>
  </cellStyleXfs>
  <cellXfs count="414">
    <xf numFmtId="0" fontId="0" fillId="0" borderId="0" xfId="0"/>
    <xf numFmtId="0" fontId="21" fillId="0" borderId="0" xfId="0" applyFont="1" applyProtection="1">
      <protection locked="0"/>
    </xf>
    <xf numFmtId="0" fontId="21" fillId="0" borderId="0" xfId="0" applyFont="1" applyFill="1" applyProtection="1">
      <protection locked="0"/>
    </xf>
    <xf numFmtId="164" fontId="21" fillId="0" borderId="0" xfId="0" applyNumberFormat="1" applyFont="1" applyProtection="1">
      <protection locked="0"/>
    </xf>
    <xf numFmtId="0" fontId="21" fillId="0" borderId="0" xfId="0" applyFont="1" applyAlignment="1" applyProtection="1">
      <alignment vertical="center"/>
      <protection locked="0"/>
    </xf>
    <xf numFmtId="2" fontId="21" fillId="24" borderId="0" xfId="0" applyNumberFormat="1" applyFont="1" applyFill="1" applyProtection="1">
      <protection locked="0"/>
    </xf>
    <xf numFmtId="173" fontId="21" fillId="0" borderId="0" xfId="0" applyNumberFormat="1" applyFont="1" applyProtection="1">
      <protection locked="0"/>
    </xf>
    <xf numFmtId="175" fontId="21" fillId="0" borderId="0" xfId="0" applyNumberFormat="1" applyFont="1" applyProtection="1">
      <protection locked="0"/>
    </xf>
    <xf numFmtId="10" fontId="21" fillId="30" borderId="10" xfId="38" applyNumberFormat="1" applyFont="1" applyFill="1" applyBorder="1" applyAlignment="1" applyProtection="1">
      <protection locked="0"/>
    </xf>
    <xf numFmtId="167" fontId="21" fillId="30" borderId="10" xfId="1" applyFont="1" applyFill="1" applyBorder="1" applyAlignment="1" applyProtection="1">
      <protection locked="0"/>
    </xf>
    <xf numFmtId="0" fontId="21" fillId="30" borderId="10" xfId="38" applyFont="1" applyFill="1" applyBorder="1" applyAlignment="1" applyProtection="1">
      <alignment horizontal="center"/>
      <protection locked="0"/>
    </xf>
    <xf numFmtId="165" fontId="21" fillId="30" borderId="20" xfId="0" applyNumberFormat="1" applyFont="1" applyFill="1" applyBorder="1" applyAlignment="1" applyProtection="1">
      <alignment vertical="center"/>
      <protection locked="0"/>
    </xf>
    <xf numFmtId="0" fontId="21" fillId="30" borderId="25" xfId="0" applyFont="1" applyFill="1" applyBorder="1" applyAlignment="1" applyProtection="1">
      <alignment vertical="center" wrapText="1"/>
      <protection locked="0"/>
    </xf>
    <xf numFmtId="14" fontId="21" fillId="30" borderId="36" xfId="38" applyNumberFormat="1" applyFont="1" applyFill="1" applyBorder="1" applyAlignment="1" applyProtection="1">
      <alignment horizontal="center" vertical="center"/>
      <protection locked="0"/>
    </xf>
    <xf numFmtId="0" fontId="21" fillId="30" borderId="36" xfId="38" applyFont="1" applyFill="1" applyBorder="1" applyAlignment="1" applyProtection="1">
      <protection locked="0"/>
    </xf>
    <xf numFmtId="14" fontId="21" fillId="30" borderId="36" xfId="38" applyNumberFormat="1" applyFont="1" applyFill="1" applyBorder="1" applyAlignment="1" applyProtection="1">
      <alignment horizontal="center"/>
      <protection locked="0"/>
    </xf>
    <xf numFmtId="167" fontId="21" fillId="30" borderId="36" xfId="1" applyFont="1" applyFill="1" applyBorder="1" applyAlignment="1" applyProtection="1">
      <protection locked="0"/>
    </xf>
    <xf numFmtId="9" fontId="23" fillId="30" borderId="36" xfId="2" applyFont="1" applyFill="1" applyBorder="1" applyAlignment="1" applyProtection="1">
      <alignment vertical="center"/>
      <protection locked="0"/>
    </xf>
    <xf numFmtId="0" fontId="23" fillId="30" borderId="36" xfId="38" applyFont="1" applyFill="1" applyBorder="1" applyAlignment="1" applyProtection="1">
      <alignment vertical="center"/>
      <protection locked="0"/>
    </xf>
    <xf numFmtId="10" fontId="23" fillId="30" borderId="36" xfId="2" applyNumberFormat="1" applyFont="1" applyFill="1" applyBorder="1" applyAlignment="1" applyProtection="1">
      <alignment vertical="center"/>
      <protection locked="0"/>
    </xf>
    <xf numFmtId="9" fontId="1" fillId="30" borderId="36" xfId="2" applyFill="1" applyBorder="1" applyAlignment="1" applyProtection="1">
      <alignment horizontal="center"/>
      <protection locked="0"/>
    </xf>
    <xf numFmtId="0" fontId="21" fillId="0" borderId="36" xfId="38" applyFont="1" applyFill="1" applyBorder="1" applyAlignment="1" applyProtection="1">
      <alignment horizontal="left"/>
    </xf>
    <xf numFmtId="0" fontId="23" fillId="0" borderId="36" xfId="38" applyFont="1" applyFill="1" applyBorder="1" applyAlignment="1" applyProtection="1">
      <alignment horizontal="center" vertical="center"/>
    </xf>
    <xf numFmtId="0" fontId="21" fillId="0" borderId="36" xfId="38" applyFont="1" applyFill="1" applyBorder="1" applyAlignment="1" applyProtection="1"/>
    <xf numFmtId="0" fontId="1" fillId="30" borderId="0" xfId="38" applyFont="1" applyFill="1" applyAlignment="1" applyProtection="1">
      <alignment horizontal="center" vertical="center"/>
      <protection locked="0"/>
    </xf>
    <xf numFmtId="20" fontId="1" fillId="30" borderId="0" xfId="38" applyNumberFormat="1" applyFont="1" applyFill="1" applyAlignment="1" applyProtection="1">
      <alignment horizontal="center" vertical="center"/>
      <protection locked="0"/>
    </xf>
    <xf numFmtId="0" fontId="23" fillId="0" borderId="0" xfId="38" applyFont="1" applyFill="1" applyAlignment="1" applyProtection="1"/>
    <xf numFmtId="0" fontId="21" fillId="0" borderId="0" xfId="38" applyFont="1" applyFill="1" applyAlignment="1" applyProtection="1">
      <alignment horizontal="center"/>
    </xf>
    <xf numFmtId="0" fontId="23" fillId="0" borderId="0" xfId="38" applyFont="1" applyFill="1" applyBorder="1" applyAlignment="1" applyProtection="1"/>
    <xf numFmtId="0" fontId="21" fillId="0" borderId="0" xfId="38" applyFont="1" applyFill="1" applyBorder="1" applyAlignment="1" applyProtection="1">
      <alignment horizontal="center"/>
    </xf>
    <xf numFmtId="0" fontId="23" fillId="0" borderId="0" xfId="38" applyFont="1" applyFill="1" applyAlignment="1" applyProtection="1">
      <alignment horizontal="left" vertical="center"/>
    </xf>
    <xf numFmtId="0" fontId="21" fillId="0" borderId="0" xfId="38" applyFont="1" applyFill="1" applyAlignment="1" applyProtection="1"/>
    <xf numFmtId="10" fontId="23" fillId="0" borderId="0" xfId="2" applyNumberFormat="1" applyFont="1" applyFill="1" applyBorder="1" applyAlignment="1" applyProtection="1">
      <alignment horizontal="center" vertical="center"/>
    </xf>
    <xf numFmtId="0" fontId="23" fillId="0" borderId="0" xfId="38" applyFont="1" applyFill="1" applyAlignment="1" applyProtection="1">
      <alignment vertical="center"/>
    </xf>
    <xf numFmtId="0" fontId="23" fillId="0" borderId="0" xfId="38" applyFont="1" applyFill="1" applyAlignment="1" applyProtection="1">
      <alignment horizontal="center"/>
    </xf>
    <xf numFmtId="0" fontId="21" fillId="0" borderId="0" xfId="0" applyFont="1" applyProtection="1"/>
    <xf numFmtId="0" fontId="21" fillId="0" borderId="10" xfId="0" applyFont="1" applyBorder="1" applyAlignment="1" applyProtection="1">
      <alignment horizontal="center" vertical="center" wrapText="1"/>
    </xf>
    <xf numFmtId="0" fontId="29" fillId="26" borderId="19" xfId="0" applyFont="1" applyFill="1" applyBorder="1" applyAlignment="1" applyProtection="1">
      <alignment vertical="center"/>
    </xf>
    <xf numFmtId="0" fontId="29" fillId="26" borderId="14" xfId="0" applyFont="1" applyFill="1" applyBorder="1" applyAlignment="1" applyProtection="1">
      <alignment vertical="center" wrapText="1"/>
    </xf>
    <xf numFmtId="0" fontId="29" fillId="26" borderId="20" xfId="0" applyFont="1" applyFill="1" applyBorder="1" applyAlignment="1" applyProtection="1">
      <alignment vertical="center" wrapText="1"/>
    </xf>
    <xf numFmtId="0" fontId="29" fillId="26" borderId="21" xfId="0" applyFont="1" applyFill="1" applyBorder="1" applyAlignment="1" applyProtection="1">
      <alignment vertical="center" wrapText="1"/>
    </xf>
    <xf numFmtId="0" fontId="21" fillId="0" borderId="10" xfId="0" applyFont="1" applyBorder="1" applyAlignment="1" applyProtection="1">
      <alignment horizontal="center"/>
    </xf>
    <xf numFmtId="0" fontId="29" fillId="0" borderId="0" xfId="0" applyFont="1" applyFill="1" applyBorder="1" applyAlignment="1" applyProtection="1">
      <alignment vertical="center" wrapText="1"/>
    </xf>
    <xf numFmtId="0" fontId="21" fillId="0" borderId="19" xfId="0" applyFont="1" applyBorder="1" applyAlignment="1" applyProtection="1">
      <alignment horizontal="center"/>
    </xf>
    <xf numFmtId="0" fontId="29" fillId="26" borderId="19" xfId="0" applyFont="1" applyFill="1" applyBorder="1" applyAlignment="1" applyProtection="1">
      <alignment vertical="top"/>
    </xf>
    <xf numFmtId="0" fontId="29" fillId="26" borderId="22" xfId="0" applyFont="1" applyFill="1" applyBorder="1" applyAlignment="1" applyProtection="1">
      <alignment horizontal="center" vertical="center" wrapText="1"/>
    </xf>
    <xf numFmtId="0" fontId="29" fillId="26" borderId="23" xfId="0" applyFont="1" applyFill="1" applyBorder="1" applyAlignment="1" applyProtection="1">
      <alignment horizontal="center" vertical="center" wrapText="1"/>
    </xf>
    <xf numFmtId="2" fontId="29" fillId="26" borderId="24" xfId="0" applyNumberFormat="1" applyFont="1" applyFill="1" applyBorder="1" applyAlignment="1" applyProtection="1">
      <alignment horizontal="center" vertical="center" wrapText="1"/>
    </xf>
    <xf numFmtId="0" fontId="21" fillId="0" borderId="25" xfId="0" applyFont="1" applyBorder="1" applyAlignment="1" applyProtection="1">
      <alignment vertical="center" wrapText="1"/>
    </xf>
    <xf numFmtId="164" fontId="21" fillId="0" borderId="19" xfId="0" applyNumberFormat="1" applyFont="1" applyFill="1" applyBorder="1" applyAlignment="1" applyProtection="1">
      <alignment horizontal="center" vertical="center"/>
    </xf>
    <xf numFmtId="10" fontId="21" fillId="24" borderId="25" xfId="0" applyNumberFormat="1" applyFont="1" applyFill="1" applyBorder="1" applyAlignment="1" applyProtection="1">
      <alignment horizontal="center" vertical="center"/>
    </xf>
    <xf numFmtId="164" fontId="21" fillId="0" borderId="19" xfId="0" applyNumberFormat="1" applyFont="1" applyBorder="1" applyAlignment="1" applyProtection="1">
      <alignment horizontal="center" vertical="center"/>
    </xf>
    <xf numFmtId="0" fontId="21" fillId="0" borderId="10" xfId="0" applyFont="1" applyFill="1" applyBorder="1" applyAlignment="1" applyProtection="1">
      <alignment horizontal="center" vertical="center" wrapText="1"/>
    </xf>
    <xf numFmtId="0" fontId="21" fillId="0" borderId="25" xfId="0" applyFont="1" applyFill="1" applyBorder="1" applyProtection="1"/>
    <xf numFmtId="2" fontId="21" fillId="0" borderId="16" xfId="0" applyNumberFormat="1" applyFont="1" applyFill="1" applyBorder="1" applyProtection="1"/>
    <xf numFmtId="0" fontId="21" fillId="0" borderId="0" xfId="0" applyFont="1" applyFill="1" applyProtection="1"/>
    <xf numFmtId="0" fontId="21" fillId="0" borderId="25" xfId="0" applyFont="1" applyFill="1" applyBorder="1" applyAlignment="1" applyProtection="1">
      <alignment horizontal="center" vertical="center" wrapText="1"/>
    </xf>
    <xf numFmtId="164" fontId="21" fillId="0" borderId="16" xfId="0" applyNumberFormat="1" applyFont="1" applyFill="1" applyBorder="1" applyAlignment="1" applyProtection="1">
      <alignment horizontal="center" vertical="center"/>
    </xf>
    <xf numFmtId="0" fontId="21" fillId="0" borderId="25" xfId="0" applyFont="1" applyFill="1" applyBorder="1" applyAlignment="1" applyProtection="1">
      <alignment vertical="center" wrapText="1"/>
    </xf>
    <xf numFmtId="0" fontId="21" fillId="0" borderId="0" xfId="0" applyFont="1" applyFill="1" applyAlignment="1" applyProtection="1">
      <alignment horizontal="center"/>
    </xf>
    <xf numFmtId="2" fontId="21" fillId="0" borderId="45" xfId="0" applyNumberFormat="1" applyFont="1" applyFill="1" applyBorder="1" applyAlignment="1" applyProtection="1">
      <alignment vertical="center" wrapText="1"/>
    </xf>
    <xf numFmtId="0" fontId="22" fillId="23" borderId="25" xfId="0" applyFont="1" applyFill="1" applyBorder="1" applyAlignment="1" applyProtection="1">
      <alignment vertical="center" wrapText="1"/>
    </xf>
    <xf numFmtId="164" fontId="22" fillId="23" borderId="24" xfId="0" applyNumberFormat="1" applyFont="1" applyFill="1" applyBorder="1" applyAlignment="1" applyProtection="1">
      <alignment horizontal="center" vertical="center" wrapText="1"/>
    </xf>
    <xf numFmtId="0" fontId="29" fillId="26" borderId="14" xfId="0" applyFont="1" applyFill="1" applyBorder="1" applyAlignment="1" applyProtection="1">
      <alignment vertical="center"/>
    </xf>
    <xf numFmtId="0" fontId="29" fillId="26" borderId="20" xfId="0" applyFont="1" applyFill="1" applyBorder="1" applyAlignment="1" applyProtection="1">
      <alignment vertical="center"/>
    </xf>
    <xf numFmtId="0" fontId="29" fillId="26" borderId="21" xfId="0" applyFont="1" applyFill="1" applyBorder="1" applyAlignment="1" applyProtection="1">
      <alignment vertical="center"/>
    </xf>
    <xf numFmtId="0" fontId="29" fillId="26" borderId="10" xfId="0" applyFont="1" applyFill="1" applyBorder="1" applyAlignment="1" applyProtection="1">
      <alignment horizontal="center" vertical="center"/>
    </xf>
    <xf numFmtId="0" fontId="29" fillId="26" borderId="25" xfId="0" applyFont="1" applyFill="1" applyBorder="1" applyAlignment="1" applyProtection="1">
      <alignment horizontal="center" vertical="center" wrapText="1"/>
    </xf>
    <xf numFmtId="2" fontId="29" fillId="26" borderId="16" xfId="0" applyNumberFormat="1" applyFont="1" applyFill="1" applyBorder="1" applyAlignment="1" applyProtection="1">
      <alignment horizontal="center" vertical="center"/>
    </xf>
    <xf numFmtId="0" fontId="21" fillId="0" borderId="10" xfId="0" applyFont="1" applyBorder="1" applyAlignment="1" applyProtection="1">
      <alignment horizontal="center" vertical="center"/>
    </xf>
    <xf numFmtId="10" fontId="21" fillId="24" borderId="25" xfId="2" applyNumberFormat="1" applyFont="1" applyFill="1" applyBorder="1" applyAlignment="1" applyProtection="1">
      <alignment horizontal="center" vertical="center" wrapText="1"/>
    </xf>
    <xf numFmtId="164" fontId="21" fillId="0" borderId="16" xfId="0" applyNumberFormat="1" applyFont="1" applyBorder="1" applyAlignment="1" applyProtection="1">
      <alignment horizontal="center" vertical="center"/>
    </xf>
    <xf numFmtId="0" fontId="21" fillId="30" borderId="10" xfId="0" applyFont="1" applyFill="1" applyBorder="1" applyAlignment="1" applyProtection="1">
      <alignment horizontal="center" vertical="center"/>
    </xf>
    <xf numFmtId="10" fontId="21" fillId="37" borderId="25" xfId="2" applyNumberFormat="1" applyFont="1" applyFill="1" applyBorder="1" applyAlignment="1" applyProtection="1">
      <alignment horizontal="center" vertical="center" wrapText="1"/>
    </xf>
    <xf numFmtId="164" fontId="21" fillId="30" borderId="19" xfId="0" applyNumberFormat="1" applyFont="1" applyFill="1" applyBorder="1" applyAlignment="1" applyProtection="1">
      <alignment horizontal="center" vertical="center"/>
    </xf>
    <xf numFmtId="0" fontId="26" fillId="0" borderId="0" xfId="0" applyFont="1" applyFill="1" applyBorder="1" applyAlignment="1" applyProtection="1">
      <alignment vertical="center" wrapText="1"/>
    </xf>
    <xf numFmtId="0" fontId="21" fillId="29" borderId="10" xfId="0" applyFont="1" applyFill="1" applyBorder="1" applyAlignment="1" applyProtection="1">
      <alignment horizontal="center" vertical="center"/>
    </xf>
    <xf numFmtId="10" fontId="21" fillId="38" borderId="25" xfId="2" applyNumberFormat="1" applyFont="1" applyFill="1" applyBorder="1" applyAlignment="1" applyProtection="1">
      <alignment horizontal="center" vertical="center" wrapText="1"/>
    </xf>
    <xf numFmtId="164" fontId="21" fillId="29" borderId="19" xfId="0" applyNumberFormat="1" applyFont="1" applyFill="1" applyBorder="1" applyAlignment="1" applyProtection="1">
      <alignment horizontal="center" vertical="center"/>
    </xf>
    <xf numFmtId="10" fontId="22" fillId="23" borderId="25" xfId="0" applyNumberFormat="1" applyFont="1" applyFill="1" applyBorder="1" applyAlignment="1" applyProtection="1">
      <alignment horizontal="center" vertical="center"/>
    </xf>
    <xf numFmtId="164" fontId="22" fillId="23" borderId="16" xfId="0" applyNumberFormat="1" applyFont="1" applyFill="1" applyBorder="1" applyAlignment="1" applyProtection="1">
      <alignment horizontal="center" vertical="center"/>
    </xf>
    <xf numFmtId="10" fontId="29" fillId="27" borderId="25" xfId="0" applyNumberFormat="1" applyFont="1" applyFill="1" applyBorder="1" applyAlignment="1" applyProtection="1">
      <alignment horizontal="center" vertical="center"/>
    </xf>
    <xf numFmtId="164" fontId="29" fillId="27" borderId="16" xfId="0" applyNumberFormat="1" applyFont="1" applyFill="1" applyBorder="1" applyAlignment="1" applyProtection="1">
      <alignment horizontal="center" vertical="center"/>
    </xf>
    <xf numFmtId="0" fontId="29" fillId="26" borderId="19" xfId="0" applyFont="1" applyFill="1" applyBorder="1" applyAlignment="1" applyProtection="1">
      <alignment horizontal="center" vertical="center"/>
    </xf>
    <xf numFmtId="2" fontId="29" fillId="26" borderId="16" xfId="0" applyNumberFormat="1" applyFont="1" applyFill="1" applyBorder="1" applyAlignment="1" applyProtection="1">
      <alignment horizontal="center" vertical="center" wrapText="1"/>
    </xf>
    <xf numFmtId="0" fontId="21" fillId="0" borderId="19" xfId="0" applyFont="1" applyBorder="1" applyAlignment="1" applyProtection="1">
      <alignment horizontal="center" vertical="center"/>
    </xf>
    <xf numFmtId="0" fontId="21" fillId="0" borderId="12" xfId="0" applyFont="1" applyBorder="1" applyAlignment="1" applyProtection="1">
      <alignment horizontal="center" vertical="center"/>
    </xf>
    <xf numFmtId="169" fontId="22" fillId="23" borderId="25" xfId="0" applyNumberFormat="1" applyFont="1" applyFill="1" applyBorder="1" applyAlignment="1" applyProtection="1">
      <alignment horizontal="center" vertical="center"/>
    </xf>
    <xf numFmtId="0" fontId="29" fillId="26" borderId="0" xfId="0" applyFont="1" applyFill="1" applyAlignment="1" applyProtection="1">
      <alignment vertical="center"/>
    </xf>
    <xf numFmtId="0" fontId="29" fillId="26" borderId="26" xfId="0" applyFont="1" applyFill="1" applyBorder="1" applyAlignment="1" applyProtection="1">
      <alignment vertical="center"/>
    </xf>
    <xf numFmtId="0" fontId="29" fillId="26" borderId="27" xfId="0" applyFont="1" applyFill="1" applyBorder="1" applyAlignment="1" applyProtection="1">
      <alignment vertical="center"/>
    </xf>
    <xf numFmtId="2" fontId="29" fillId="26" borderId="21" xfId="0" applyNumberFormat="1" applyFont="1" applyFill="1" applyBorder="1" applyAlignment="1" applyProtection="1">
      <alignment horizontal="center" vertical="center" wrapText="1"/>
    </xf>
    <xf numFmtId="0" fontId="21" fillId="0" borderId="23" xfId="0" applyFont="1" applyBorder="1" applyAlignment="1" applyProtection="1">
      <alignment vertical="center"/>
    </xf>
    <xf numFmtId="166" fontId="29" fillId="0" borderId="25" xfId="0" applyNumberFormat="1" applyFont="1" applyFill="1" applyBorder="1" applyAlignment="1" applyProtection="1">
      <alignment horizontal="center" vertical="center"/>
    </xf>
    <xf numFmtId="0" fontId="21" fillId="0" borderId="22" xfId="0" applyFont="1" applyBorder="1" applyAlignment="1" applyProtection="1">
      <alignment horizontal="center" vertical="center"/>
    </xf>
    <xf numFmtId="3" fontId="29" fillId="0" borderId="23" xfId="0" applyNumberFormat="1" applyFont="1" applyFill="1" applyBorder="1" applyAlignment="1" applyProtection="1">
      <alignment horizontal="center" vertical="center"/>
    </xf>
    <xf numFmtId="9" fontId="29" fillId="0" borderId="25" xfId="2" applyFont="1" applyFill="1" applyBorder="1" applyAlignment="1" applyProtection="1">
      <alignment horizontal="center" vertical="center"/>
    </xf>
    <xf numFmtId="0" fontId="21" fillId="24" borderId="25" xfId="0" applyFont="1" applyFill="1" applyBorder="1" applyAlignment="1" applyProtection="1">
      <alignment horizontal="center" vertical="center" wrapText="1"/>
    </xf>
    <xf numFmtId="167" fontId="29" fillId="0" borderId="25" xfId="1" applyFont="1" applyFill="1" applyBorder="1" applyAlignment="1" applyProtection="1"/>
    <xf numFmtId="164" fontId="21" fillId="0" borderId="0" xfId="0" applyNumberFormat="1" applyFont="1" applyProtection="1"/>
    <xf numFmtId="3" fontId="29" fillId="24" borderId="25" xfId="0" applyNumberFormat="1" applyFont="1" applyFill="1" applyBorder="1" applyAlignment="1" applyProtection="1">
      <alignment horizontal="center" vertical="center" wrapText="1"/>
    </xf>
    <xf numFmtId="9" fontId="29" fillId="0" borderId="25" xfId="0" applyNumberFormat="1" applyFont="1" applyFill="1" applyBorder="1" applyAlignment="1" applyProtection="1">
      <alignment horizontal="center" vertical="center" wrapText="1"/>
    </xf>
    <xf numFmtId="0" fontId="21" fillId="24" borderId="25" xfId="0" applyFont="1" applyFill="1" applyBorder="1" applyAlignment="1" applyProtection="1">
      <alignment vertical="center" wrapText="1"/>
    </xf>
    <xf numFmtId="0" fontId="29" fillId="0" borderId="25" xfId="0" applyFont="1" applyFill="1" applyBorder="1" applyAlignment="1" applyProtection="1">
      <alignment horizontal="center" vertical="center" wrapText="1"/>
    </xf>
    <xf numFmtId="164" fontId="21" fillId="0" borderId="16" xfId="0" applyNumberFormat="1" applyFont="1" applyFill="1" applyBorder="1" applyAlignment="1" applyProtection="1">
      <alignment horizontal="center" vertical="center" wrapText="1"/>
    </xf>
    <xf numFmtId="10" fontId="21" fillId="30" borderId="25" xfId="0" applyNumberFormat="1" applyFont="1" applyFill="1" applyBorder="1" applyAlignment="1" applyProtection="1">
      <alignment vertical="center" wrapText="1"/>
    </xf>
    <xf numFmtId="164" fontId="21" fillId="30" borderId="19" xfId="0" applyNumberFormat="1" applyFont="1" applyFill="1" applyBorder="1" applyAlignment="1" applyProtection="1">
      <alignment horizontal="center" vertical="center" wrapText="1"/>
    </xf>
    <xf numFmtId="164" fontId="21" fillId="30" borderId="16" xfId="0" applyNumberFormat="1" applyFont="1" applyFill="1" applyBorder="1" applyAlignment="1" applyProtection="1">
      <alignment horizontal="center" vertical="center" wrapText="1"/>
    </xf>
    <xf numFmtId="0" fontId="21" fillId="34" borderId="10" xfId="0" applyFont="1" applyFill="1" applyBorder="1" applyAlignment="1" applyProtection="1">
      <alignment horizontal="center" vertical="center"/>
    </xf>
    <xf numFmtId="10" fontId="21" fillId="34" borderId="25" xfId="0" applyNumberFormat="1" applyFont="1" applyFill="1" applyBorder="1" applyAlignment="1" applyProtection="1">
      <alignment vertical="center" wrapText="1"/>
    </xf>
    <xf numFmtId="164" fontId="21" fillId="34" borderId="19" xfId="0" applyNumberFormat="1" applyFont="1" applyFill="1" applyBorder="1" applyAlignment="1" applyProtection="1">
      <alignment horizontal="center" vertical="center" wrapText="1"/>
    </xf>
    <xf numFmtId="10" fontId="21" fillId="29" borderId="25" xfId="0" applyNumberFormat="1" applyFont="1" applyFill="1" applyBorder="1" applyAlignment="1" applyProtection="1">
      <alignment vertical="center" wrapText="1"/>
    </xf>
    <xf numFmtId="164" fontId="21" fillId="29" borderId="19" xfId="0" applyNumberFormat="1" applyFont="1" applyFill="1" applyBorder="1" applyAlignment="1" applyProtection="1">
      <alignment horizontal="center" vertical="center" wrapText="1"/>
    </xf>
    <xf numFmtId="0" fontId="22" fillId="23" borderId="25" xfId="0" applyFont="1" applyFill="1" applyBorder="1" applyAlignment="1" applyProtection="1">
      <alignment vertical="center"/>
    </xf>
    <xf numFmtId="0" fontId="21" fillId="26" borderId="10" xfId="0" applyFont="1" applyFill="1" applyBorder="1" applyAlignment="1" applyProtection="1">
      <alignment horizontal="center" vertical="center"/>
    </xf>
    <xf numFmtId="0" fontId="21" fillId="26" borderId="25" xfId="0" applyFont="1" applyFill="1" applyBorder="1" applyAlignment="1" applyProtection="1">
      <alignment vertical="center" wrapText="1"/>
    </xf>
    <xf numFmtId="2" fontId="21" fillId="26" borderId="16" xfId="0" applyNumberFormat="1" applyFont="1" applyFill="1" applyBorder="1" applyAlignment="1" applyProtection="1">
      <alignment horizontal="center" vertical="center"/>
    </xf>
    <xf numFmtId="0" fontId="29" fillId="27" borderId="25" xfId="0" applyFont="1" applyFill="1" applyBorder="1" applyAlignment="1" applyProtection="1">
      <alignment vertical="center"/>
    </xf>
    <xf numFmtId="0" fontId="29" fillId="26" borderId="30" xfId="0" applyFont="1" applyFill="1" applyBorder="1" applyAlignment="1" applyProtection="1">
      <alignment vertical="center"/>
    </xf>
    <xf numFmtId="0" fontId="29" fillId="26" borderId="13" xfId="0" applyFont="1" applyFill="1" applyBorder="1" applyAlignment="1" applyProtection="1">
      <alignment horizontal="center" vertical="center" wrapText="1"/>
    </xf>
    <xf numFmtId="0" fontId="29" fillId="26" borderId="52" xfId="0" applyFont="1" applyFill="1" applyBorder="1" applyAlignment="1" applyProtection="1">
      <alignment horizontal="center" vertical="center" wrapText="1"/>
    </xf>
    <xf numFmtId="0" fontId="21" fillId="36" borderId="10" xfId="0" applyFont="1" applyFill="1" applyBorder="1" applyAlignment="1" applyProtection="1">
      <alignment horizontal="center" vertical="center"/>
    </xf>
    <xf numFmtId="10" fontId="21" fillId="36" borderId="25" xfId="0" applyNumberFormat="1" applyFont="1" applyFill="1" applyBorder="1" applyAlignment="1" applyProtection="1">
      <alignment horizontal="center" vertical="center"/>
    </xf>
    <xf numFmtId="164" fontId="21" fillId="39" borderId="16" xfId="0" applyNumberFormat="1" applyFont="1" applyFill="1" applyBorder="1" applyAlignment="1" applyProtection="1">
      <alignment horizontal="center" vertical="center"/>
    </xf>
    <xf numFmtId="10" fontId="21" fillId="0" borderId="25" xfId="0" applyNumberFormat="1" applyFont="1" applyFill="1" applyBorder="1" applyAlignment="1" applyProtection="1">
      <alignment horizontal="center" vertical="center"/>
    </xf>
    <xf numFmtId="164" fontId="21" fillId="24" borderId="29" xfId="0" applyNumberFormat="1" applyFont="1" applyFill="1" applyBorder="1" applyAlignment="1" applyProtection="1">
      <alignment horizontal="center" vertical="center"/>
    </xf>
    <xf numFmtId="0" fontId="21" fillId="0" borderId="28" xfId="0" applyFont="1" applyBorder="1" applyAlignment="1" applyProtection="1">
      <alignment horizontal="center" vertical="center"/>
    </xf>
    <xf numFmtId="10" fontId="21" fillId="0" borderId="25" xfId="0" applyNumberFormat="1" applyFont="1" applyFill="1" applyBorder="1" applyAlignment="1" applyProtection="1">
      <alignment horizontal="center" vertical="center" wrapText="1"/>
    </xf>
    <xf numFmtId="0" fontId="21" fillId="36" borderId="28" xfId="0" applyFont="1" applyFill="1" applyBorder="1" applyAlignment="1" applyProtection="1">
      <alignment horizontal="center" vertical="center"/>
    </xf>
    <xf numFmtId="10" fontId="21" fillId="36" borderId="25" xfId="0" applyNumberFormat="1" applyFont="1" applyFill="1" applyBorder="1" applyAlignment="1" applyProtection="1">
      <alignment horizontal="center" vertical="center" wrapText="1"/>
    </xf>
    <xf numFmtId="164" fontId="21" fillId="39" borderId="15" xfId="0" applyNumberFormat="1" applyFont="1" applyFill="1" applyBorder="1" applyAlignment="1" applyProtection="1">
      <alignment horizontal="center" vertical="center"/>
    </xf>
    <xf numFmtId="164" fontId="21" fillId="24" borderId="16" xfId="0" applyNumberFormat="1" applyFont="1" applyFill="1" applyBorder="1" applyAlignment="1" applyProtection="1">
      <alignment horizontal="center" vertical="center"/>
    </xf>
    <xf numFmtId="0" fontId="29" fillId="27" borderId="25" xfId="0" applyFont="1" applyFill="1" applyBorder="1" applyAlignment="1" applyProtection="1">
      <alignment horizontal="center" vertical="center"/>
    </xf>
    <xf numFmtId="164" fontId="29" fillId="27" borderId="21" xfId="0" applyNumberFormat="1" applyFont="1" applyFill="1" applyBorder="1" applyAlignment="1" applyProtection="1">
      <alignment horizontal="center" vertical="center"/>
    </xf>
    <xf numFmtId="0" fontId="29" fillId="26" borderId="30" xfId="0" applyFont="1" applyFill="1" applyBorder="1" applyAlignment="1" applyProtection="1">
      <alignment vertical="center" wrapText="1"/>
    </xf>
    <xf numFmtId="0" fontId="29" fillId="26" borderId="31" xfId="0" applyFont="1" applyFill="1" applyBorder="1" applyAlignment="1" applyProtection="1">
      <alignment vertical="center" wrapText="1"/>
    </xf>
    <xf numFmtId="0" fontId="29" fillId="26" borderId="32" xfId="0" applyFont="1" applyFill="1" applyBorder="1" applyAlignment="1" applyProtection="1">
      <alignment vertical="center" wrapText="1"/>
    </xf>
    <xf numFmtId="0" fontId="21" fillId="0" borderId="0" xfId="0" applyFont="1" applyAlignment="1" applyProtection="1">
      <alignment vertical="center"/>
    </xf>
    <xf numFmtId="0" fontId="29" fillId="26" borderId="15" xfId="0" applyFont="1" applyFill="1" applyBorder="1" applyAlignment="1" applyProtection="1">
      <alignment horizontal="center" vertical="center"/>
    </xf>
    <xf numFmtId="165" fontId="21" fillId="0" borderId="20" xfId="0" applyNumberFormat="1" applyFont="1" applyFill="1" applyBorder="1" applyAlignment="1" applyProtection="1">
      <alignment vertical="center"/>
    </xf>
    <xf numFmtId="0" fontId="21" fillId="32" borderId="10" xfId="0" applyFont="1" applyFill="1" applyBorder="1" applyAlignment="1" applyProtection="1">
      <alignment horizontal="center" vertical="center"/>
    </xf>
    <xf numFmtId="164" fontId="21" fillId="32" borderId="16" xfId="0" applyNumberFormat="1" applyFont="1" applyFill="1" applyBorder="1" applyAlignment="1" applyProtection="1">
      <alignment horizontal="center" vertical="center"/>
    </xf>
    <xf numFmtId="165" fontId="22" fillId="23" borderId="25" xfId="0" applyNumberFormat="1" applyFont="1" applyFill="1" applyBorder="1" applyAlignment="1" applyProtection="1">
      <alignment vertical="center"/>
    </xf>
    <xf numFmtId="0" fontId="29" fillId="26" borderId="10" xfId="0" applyFont="1" applyFill="1" applyBorder="1" applyAlignment="1" applyProtection="1">
      <alignment horizontal="center"/>
    </xf>
    <xf numFmtId="0" fontId="29" fillId="26" borderId="25" xfId="0" applyFont="1" applyFill="1" applyBorder="1" applyAlignment="1" applyProtection="1">
      <alignment vertical="center"/>
    </xf>
    <xf numFmtId="2" fontId="29" fillId="26" borderId="16" xfId="0" applyNumberFormat="1" applyFont="1" applyFill="1" applyBorder="1" applyAlignment="1" applyProtection="1">
      <alignment horizontal="center"/>
    </xf>
    <xf numFmtId="4" fontId="21" fillId="0" borderId="16" xfId="0" applyNumberFormat="1" applyFont="1" applyFill="1" applyBorder="1" applyAlignment="1" applyProtection="1">
      <alignment horizontal="center" vertical="center"/>
    </xf>
    <xf numFmtId="2" fontId="22" fillId="23" borderId="16" xfId="0" applyNumberFormat="1" applyFont="1" applyFill="1" applyBorder="1" applyAlignment="1" applyProtection="1">
      <alignment horizontal="center" vertical="center"/>
    </xf>
    <xf numFmtId="0" fontId="29" fillId="26" borderId="25" xfId="0" applyFont="1" applyFill="1" applyBorder="1" applyAlignment="1" applyProtection="1">
      <alignment vertical="center" wrapText="1"/>
    </xf>
    <xf numFmtId="10" fontId="21" fillId="0" borderId="33" xfId="0" applyNumberFormat="1" applyFont="1" applyBorder="1" applyAlignment="1" applyProtection="1">
      <alignment vertical="center" wrapText="1"/>
    </xf>
    <xf numFmtId="10" fontId="21" fillId="0" borderId="26" xfId="0" applyNumberFormat="1" applyFont="1" applyBorder="1" applyAlignment="1" applyProtection="1">
      <alignment vertical="center" wrapText="1"/>
    </xf>
    <xf numFmtId="0" fontId="22" fillId="23" borderId="23" xfId="0" applyFont="1" applyFill="1" applyBorder="1" applyAlignment="1" applyProtection="1">
      <alignment vertical="center"/>
    </xf>
    <xf numFmtId="173" fontId="29" fillId="26" borderId="21" xfId="0" applyNumberFormat="1" applyFont="1" applyFill="1" applyBorder="1" applyAlignment="1" applyProtection="1">
      <alignment vertical="center" wrapText="1"/>
    </xf>
    <xf numFmtId="175" fontId="21" fillId="0" borderId="0" xfId="0" applyNumberFormat="1" applyFont="1" applyProtection="1"/>
    <xf numFmtId="0" fontId="29" fillId="0" borderId="10" xfId="0" applyFont="1" applyBorder="1" applyAlignment="1" applyProtection="1">
      <alignment horizontal="center" vertical="center"/>
    </xf>
    <xf numFmtId="0" fontId="21" fillId="0" borderId="10" xfId="0" applyFont="1" applyFill="1" applyBorder="1" applyAlignment="1" applyProtection="1">
      <alignment horizontal="center" vertical="center"/>
    </xf>
    <xf numFmtId="10" fontId="21" fillId="0" borderId="33" xfId="0" applyNumberFormat="1" applyFont="1" applyFill="1" applyBorder="1" applyAlignment="1" applyProtection="1">
      <alignment vertical="center" wrapText="1"/>
    </xf>
    <xf numFmtId="49" fontId="21" fillId="0" borderId="0" xfId="0" applyNumberFormat="1" applyFont="1" applyFill="1" applyBorder="1" applyAlignment="1" applyProtection="1">
      <alignment vertical="center" wrapText="1"/>
    </xf>
    <xf numFmtId="0" fontId="21" fillId="31" borderId="10" xfId="0" applyFont="1" applyFill="1" applyBorder="1" applyAlignment="1" applyProtection="1">
      <alignment horizontal="center" vertical="center"/>
    </xf>
    <xf numFmtId="10" fontId="21" fillId="31" borderId="33" xfId="0" applyNumberFormat="1" applyFont="1" applyFill="1" applyBorder="1" applyAlignment="1" applyProtection="1">
      <alignment vertical="center" wrapText="1"/>
    </xf>
    <xf numFmtId="164" fontId="21" fillId="31" borderId="19" xfId="0" applyNumberFormat="1" applyFont="1" applyFill="1" applyBorder="1" applyAlignment="1" applyProtection="1">
      <alignment horizontal="center" vertical="center"/>
    </xf>
    <xf numFmtId="10" fontId="21" fillId="34" borderId="33" xfId="0" applyNumberFormat="1" applyFont="1" applyFill="1" applyBorder="1" applyAlignment="1" applyProtection="1">
      <alignment vertical="center" wrapText="1"/>
    </xf>
    <xf numFmtId="164" fontId="21" fillId="41" borderId="19" xfId="0" applyNumberFormat="1" applyFont="1" applyFill="1" applyBorder="1" applyAlignment="1" applyProtection="1">
      <alignment horizontal="center" vertical="center" wrapText="1"/>
    </xf>
    <xf numFmtId="164" fontId="21" fillId="24" borderId="16" xfId="0" applyNumberFormat="1" applyFont="1" applyFill="1" applyBorder="1" applyAlignment="1" applyProtection="1">
      <alignment horizontal="center" vertical="center" wrapText="1"/>
    </xf>
    <xf numFmtId="173" fontId="21" fillId="0" borderId="0" xfId="0" applyNumberFormat="1" applyFont="1" applyProtection="1"/>
    <xf numFmtId="174" fontId="21" fillId="40" borderId="16" xfId="0" applyNumberFormat="1" applyFont="1" applyFill="1" applyBorder="1" applyAlignment="1" applyProtection="1">
      <alignment horizontal="center" vertical="center" wrapText="1"/>
    </xf>
    <xf numFmtId="174" fontId="21" fillId="41" borderId="16" xfId="0" applyNumberFormat="1" applyFont="1" applyFill="1" applyBorder="1" applyAlignment="1" applyProtection="1">
      <alignment horizontal="center" vertical="center" wrapText="1"/>
    </xf>
    <xf numFmtId="164" fontId="22" fillId="23" borderId="16" xfId="0" applyNumberFormat="1" applyFont="1" applyFill="1" applyBorder="1" applyAlignment="1" applyProtection="1">
      <alignment horizontal="center" vertical="center" wrapText="1"/>
    </xf>
    <xf numFmtId="164" fontId="29" fillId="27" borderId="16" xfId="0" applyNumberFormat="1" applyFont="1" applyFill="1" applyBorder="1" applyAlignment="1" applyProtection="1">
      <alignment horizontal="center" vertical="center" wrapText="1"/>
    </xf>
    <xf numFmtId="10" fontId="29" fillId="0" borderId="25" xfId="0" applyNumberFormat="1" applyFont="1" applyBorder="1" applyAlignment="1" applyProtection="1">
      <alignment horizontal="center" vertical="center"/>
    </xf>
    <xf numFmtId="164" fontId="29" fillId="0" borderId="16" xfId="0" applyNumberFormat="1" applyFont="1" applyBorder="1" applyAlignment="1" applyProtection="1">
      <alignment horizontal="center" vertical="center"/>
    </xf>
    <xf numFmtId="0" fontId="22" fillId="23" borderId="25" xfId="0" applyFont="1" applyFill="1" applyBorder="1" applyAlignment="1" applyProtection="1">
      <alignment horizontal="center" vertical="center"/>
    </xf>
    <xf numFmtId="49" fontId="29" fillId="26" borderId="19" xfId="0" applyNumberFormat="1" applyFont="1" applyFill="1" applyBorder="1" applyAlignment="1" applyProtection="1">
      <alignment vertical="center"/>
    </xf>
    <xf numFmtId="49" fontId="29" fillId="26" borderId="14" xfId="0" applyNumberFormat="1" applyFont="1" applyFill="1" applyBorder="1" applyAlignment="1" applyProtection="1">
      <alignment vertical="center" wrapText="1"/>
    </xf>
    <xf numFmtId="49" fontId="29" fillId="26" borderId="20" xfId="0" applyNumberFormat="1" applyFont="1" applyFill="1" applyBorder="1" applyAlignment="1" applyProtection="1">
      <alignment vertical="center" wrapText="1"/>
    </xf>
    <xf numFmtId="49" fontId="29" fillId="26" borderId="21" xfId="0" applyNumberFormat="1" applyFont="1" applyFill="1" applyBorder="1" applyAlignment="1" applyProtection="1">
      <alignment vertical="center" wrapText="1"/>
    </xf>
    <xf numFmtId="49" fontId="21" fillId="0" borderId="19" xfId="0" applyNumberFormat="1" applyFont="1" applyBorder="1" applyAlignment="1" applyProtection="1">
      <alignment horizontal="center" vertical="center" wrapText="1"/>
    </xf>
    <xf numFmtId="164" fontId="21" fillId="0" borderId="16" xfId="0" applyNumberFormat="1" applyFont="1" applyBorder="1" applyAlignment="1" applyProtection="1">
      <alignment horizontal="center" vertical="center" wrapText="1"/>
    </xf>
    <xf numFmtId="0" fontId="21" fillId="0" borderId="20" xfId="0" applyFont="1" applyBorder="1" applyAlignment="1" applyProtection="1">
      <alignment horizontal="left" vertical="center" wrapText="1"/>
    </xf>
    <xf numFmtId="49" fontId="22" fillId="23" borderId="25" xfId="0" applyNumberFormat="1" applyFont="1" applyFill="1" applyBorder="1" applyAlignment="1" applyProtection="1">
      <alignment vertical="center" wrapText="1"/>
    </xf>
    <xf numFmtId="164" fontId="22" fillId="23" borderId="16" xfId="1" applyNumberFormat="1" applyFont="1" applyFill="1" applyBorder="1" applyAlignment="1" applyProtection="1">
      <alignment horizontal="center"/>
    </xf>
    <xf numFmtId="49" fontId="21" fillId="0" borderId="10" xfId="0" applyNumberFormat="1" applyFont="1" applyBorder="1" applyAlignment="1" applyProtection="1">
      <alignment horizontal="center" vertical="center" wrapText="1"/>
    </xf>
    <xf numFmtId="164" fontId="21" fillId="0" borderId="21" xfId="0" applyNumberFormat="1" applyFont="1" applyBorder="1" applyAlignment="1" applyProtection="1">
      <alignment horizontal="center" vertical="center" wrapText="1"/>
    </xf>
    <xf numFmtId="49" fontId="22" fillId="23" borderId="34" xfId="0" applyNumberFormat="1" applyFont="1" applyFill="1" applyBorder="1" applyAlignment="1" applyProtection="1">
      <alignment vertical="center" wrapText="1"/>
    </xf>
    <xf numFmtId="164" fontId="22" fillId="23" borderId="35" xfId="1" applyNumberFormat="1" applyFont="1" applyFill="1" applyBorder="1" applyAlignment="1" applyProtection="1">
      <alignment horizontal="center"/>
    </xf>
    <xf numFmtId="49" fontId="29" fillId="26" borderId="10" xfId="0" applyNumberFormat="1" applyFont="1" applyFill="1" applyBorder="1" applyAlignment="1" applyProtection="1">
      <alignment vertical="center" wrapText="1"/>
    </xf>
    <xf numFmtId="49" fontId="29" fillId="26" borderId="10" xfId="0" applyNumberFormat="1" applyFont="1" applyFill="1" applyBorder="1" applyAlignment="1" applyProtection="1">
      <alignment horizontal="center" vertical="center" wrapText="1"/>
    </xf>
    <xf numFmtId="0" fontId="21" fillId="0" borderId="10" xfId="0" applyFont="1" applyBorder="1" applyProtection="1"/>
    <xf numFmtId="164" fontId="21" fillId="0" borderId="10" xfId="0" applyNumberFormat="1" applyFont="1" applyBorder="1" applyProtection="1"/>
    <xf numFmtId="2" fontId="21" fillId="24" borderId="0" xfId="0" applyNumberFormat="1" applyFont="1" applyFill="1" applyProtection="1"/>
    <xf numFmtId="0" fontId="53" fillId="23" borderId="28" xfId="38" applyFont="1" applyFill="1" applyBorder="1" applyAlignment="1" applyProtection="1">
      <alignment horizontal="center" vertical="center" wrapText="1"/>
    </xf>
    <xf numFmtId="14" fontId="21" fillId="30" borderId="36" xfId="38" applyNumberFormat="1" applyFont="1" applyFill="1" applyBorder="1" applyAlignment="1" applyProtection="1">
      <alignment horizontal="center" vertical="center"/>
    </xf>
    <xf numFmtId="0" fontId="22" fillId="0" borderId="0" xfId="38" applyFont="1" applyFill="1" applyBorder="1" applyAlignment="1" applyProtection="1">
      <alignment horizontal="center" vertical="center" wrapText="1"/>
    </xf>
    <xf numFmtId="0" fontId="52" fillId="23" borderId="28" xfId="38" applyFont="1" applyFill="1" applyBorder="1" applyAlignment="1" applyProtection="1">
      <alignment horizontal="center" vertical="center"/>
    </xf>
    <xf numFmtId="0" fontId="52" fillId="23" borderId="28" xfId="38" applyFont="1" applyFill="1" applyBorder="1" applyAlignment="1" applyProtection="1">
      <alignment horizontal="center" vertical="center" wrapText="1"/>
    </xf>
    <xf numFmtId="0" fontId="21" fillId="0" borderId="36" xfId="38" applyFont="1" applyFill="1" applyBorder="1" applyAlignment="1" applyProtection="1">
      <alignment horizontal="center"/>
    </xf>
    <xf numFmtId="14" fontId="21" fillId="0" borderId="0" xfId="38" applyNumberFormat="1" applyFont="1" applyFill="1" applyBorder="1" applyAlignment="1" applyProtection="1">
      <alignment horizontal="center" vertical="center"/>
    </xf>
    <xf numFmtId="0" fontId="21" fillId="0" borderId="0" xfId="38" applyFont="1" applyFill="1" applyBorder="1" applyAlignment="1" applyProtection="1">
      <alignment horizontal="left"/>
    </xf>
    <xf numFmtId="0" fontId="21" fillId="0" borderId="0" xfId="38" applyFont="1" applyFill="1" applyBorder="1" applyAlignment="1" applyProtection="1"/>
    <xf numFmtId="14" fontId="21" fillId="0" borderId="0" xfId="38" applyNumberFormat="1" applyFont="1" applyFill="1" applyBorder="1" applyAlignment="1" applyProtection="1">
      <alignment horizontal="center"/>
    </xf>
    <xf numFmtId="167" fontId="21" fillId="0" borderId="0" xfId="1" applyFont="1" applyFill="1" applyBorder="1" applyAlignment="1" applyProtection="1"/>
    <xf numFmtId="0" fontId="23" fillId="0" borderId="0" xfId="38" applyFont="1" applyFill="1" applyBorder="1" applyAlignment="1" applyProtection="1">
      <alignment horizontal="center" vertical="center"/>
    </xf>
    <xf numFmtId="0" fontId="23" fillId="0" borderId="0" xfId="38" applyFont="1" applyFill="1" applyBorder="1" applyAlignment="1" applyProtection="1">
      <alignment vertical="center"/>
    </xf>
    <xf numFmtId="0" fontId="52" fillId="23" borderId="36" xfId="38" applyFont="1" applyFill="1" applyBorder="1" applyAlignment="1" applyProtection="1">
      <alignment horizontal="center" vertical="center"/>
    </xf>
    <xf numFmtId="0" fontId="52" fillId="23" borderId="36" xfId="38" applyFont="1" applyFill="1" applyBorder="1" applyAlignment="1" applyProtection="1">
      <alignment horizontal="center" vertical="center" wrapText="1"/>
    </xf>
    <xf numFmtId="0" fontId="22" fillId="0" borderId="0" xfId="38" applyFont="1" applyFill="1" applyBorder="1" applyAlignment="1" applyProtection="1"/>
    <xf numFmtId="0" fontId="54" fillId="23" borderId="10" xfId="38" applyFont="1" applyFill="1" applyBorder="1" applyAlignment="1" applyProtection="1">
      <alignment horizontal="center" vertical="center"/>
    </xf>
    <xf numFmtId="0" fontId="54" fillId="23" borderId="10" xfId="38" applyFont="1" applyFill="1" applyBorder="1" applyAlignment="1" applyProtection="1">
      <alignment horizontal="center" vertical="center" wrapText="1"/>
    </xf>
    <xf numFmtId="0" fontId="21" fillId="0" borderId="10" xfId="38" applyFont="1" applyFill="1" applyBorder="1" applyAlignment="1" applyProtection="1">
      <alignment horizontal="center"/>
    </xf>
    <xf numFmtId="4" fontId="28" fillId="0" borderId="10" xfId="1" applyNumberFormat="1" applyFont="1" applyFill="1" applyBorder="1" applyAlignment="1" applyProtection="1">
      <alignment horizontal="center"/>
    </xf>
    <xf numFmtId="0" fontId="25" fillId="0" borderId="0" xfId="38" applyFont="1" applyFill="1" applyAlignment="1" applyProtection="1"/>
    <xf numFmtId="0" fontId="21" fillId="0" borderId="10" xfId="38" applyFont="1" applyFill="1" applyBorder="1" applyAlignment="1" applyProtection="1"/>
    <xf numFmtId="10" fontId="21" fillId="0" borderId="10" xfId="38" applyNumberFormat="1" applyFont="1" applyFill="1" applyBorder="1" applyAlignment="1" applyProtection="1"/>
    <xf numFmtId="10" fontId="21" fillId="30" borderId="10" xfId="38" applyNumberFormat="1" applyFont="1" applyFill="1" applyBorder="1" applyAlignment="1" applyProtection="1"/>
    <xf numFmtId="164" fontId="26" fillId="0" borderId="0" xfId="38" applyNumberFormat="1" applyFont="1" applyFill="1" applyAlignment="1" applyProtection="1">
      <alignment horizontal="center" vertical="center"/>
    </xf>
    <xf numFmtId="10" fontId="23" fillId="0" borderId="0" xfId="38" applyNumberFormat="1" applyFont="1" applyFill="1" applyAlignment="1" applyProtection="1"/>
    <xf numFmtId="9" fontId="23" fillId="0" borderId="0" xfId="38" applyNumberFormat="1" applyFont="1" applyFill="1" applyAlignment="1" applyProtection="1"/>
    <xf numFmtId="168" fontId="23" fillId="0" borderId="0" xfId="38" applyNumberFormat="1" applyFont="1" applyFill="1" applyAlignment="1" applyProtection="1"/>
    <xf numFmtId="167" fontId="21" fillId="30" borderId="10" xfId="1" applyFont="1" applyFill="1" applyBorder="1" applyAlignment="1" applyProtection="1"/>
    <xf numFmtId="167" fontId="28" fillId="0" borderId="10" xfId="1" applyFont="1" applyFill="1" applyBorder="1" applyAlignment="1" applyProtection="1"/>
    <xf numFmtId="167" fontId="28" fillId="0" borderId="10" xfId="1" applyNumberFormat="1" applyFont="1" applyFill="1" applyBorder="1" applyAlignment="1" applyProtection="1"/>
    <xf numFmtId="167" fontId="21" fillId="0" borderId="0" xfId="1" applyFont="1" applyFill="1" applyAlignment="1" applyProtection="1"/>
    <xf numFmtId="167" fontId="21" fillId="0" borderId="10" xfId="1" applyFont="1" applyFill="1" applyBorder="1" applyAlignment="1" applyProtection="1"/>
    <xf numFmtId="0" fontId="22" fillId="23" borderId="10" xfId="38" applyFont="1" applyFill="1" applyBorder="1" applyAlignment="1" applyProtection="1">
      <alignment horizontal="center" vertical="center" wrapText="1"/>
    </xf>
    <xf numFmtId="165" fontId="21" fillId="30" borderId="20" xfId="0" applyNumberFormat="1" applyFont="1" applyFill="1" applyBorder="1" applyAlignment="1" applyProtection="1">
      <alignment vertical="center"/>
    </xf>
    <xf numFmtId="164" fontId="21" fillId="34" borderId="16" xfId="0" applyNumberFormat="1" applyFont="1" applyFill="1" applyBorder="1" applyAlignment="1" applyProtection="1">
      <alignment horizontal="center" vertical="center" wrapText="1"/>
    </xf>
    <xf numFmtId="164" fontId="21" fillId="29" borderId="16" xfId="0" applyNumberFormat="1" applyFont="1" applyFill="1" applyBorder="1" applyAlignment="1" applyProtection="1">
      <alignment horizontal="center" vertical="center"/>
    </xf>
    <xf numFmtId="164" fontId="21" fillId="29" borderId="16" xfId="0" applyNumberFormat="1" applyFont="1" applyFill="1" applyBorder="1" applyAlignment="1" applyProtection="1">
      <alignment horizontal="center" vertical="center" wrapText="1"/>
    </xf>
    <xf numFmtId="0" fontId="21" fillId="0" borderId="0" xfId="40" applyFont="1" applyFill="1" applyAlignment="1" applyProtection="1"/>
    <xf numFmtId="0" fontId="22" fillId="23" borderId="37" xfId="40" applyFont="1" applyFill="1" applyBorder="1" applyAlignment="1" applyProtection="1">
      <alignment horizontal="center" vertical="center"/>
    </xf>
    <xf numFmtId="0" fontId="22" fillId="23" borderId="38" xfId="40" applyFont="1" applyFill="1" applyBorder="1" applyAlignment="1" applyProtection="1">
      <alignment horizontal="center" vertical="center"/>
    </xf>
    <xf numFmtId="0" fontId="22" fillId="23" borderId="38" xfId="40" applyFont="1" applyFill="1" applyBorder="1" applyAlignment="1" applyProtection="1">
      <alignment horizontal="center" vertical="center" wrapText="1"/>
    </xf>
    <xf numFmtId="0" fontId="22" fillId="23" borderId="38" xfId="0" applyFont="1" applyFill="1" applyBorder="1" applyAlignment="1" applyProtection="1">
      <alignment horizontal="center" vertical="center" wrapText="1"/>
    </xf>
    <xf numFmtId="0" fontId="22" fillId="23" borderId="39" xfId="40" applyFont="1" applyFill="1" applyBorder="1" applyAlignment="1" applyProtection="1">
      <alignment horizontal="center" vertical="center" wrapText="1"/>
    </xf>
    <xf numFmtId="0" fontId="21" fillId="0" borderId="36" xfId="40" applyFont="1" applyFill="1" applyBorder="1" applyAlignment="1" applyProtection="1">
      <alignment horizontal="center" vertical="center"/>
    </xf>
    <xf numFmtId="0" fontId="21" fillId="0" borderId="36" xfId="0" applyFont="1" applyBorder="1" applyAlignment="1" applyProtection="1">
      <alignment horizontal="center" vertical="center" wrapText="1"/>
    </xf>
    <xf numFmtId="0" fontId="21" fillId="24" borderId="36" xfId="40" applyFont="1" applyFill="1" applyBorder="1" applyAlignment="1" applyProtection="1">
      <alignment horizontal="center" vertical="center" wrapText="1"/>
    </xf>
    <xf numFmtId="166" fontId="21" fillId="24" borderId="36" xfId="40" applyNumberFormat="1" applyFont="1" applyFill="1" applyBorder="1" applyAlignment="1" applyProtection="1">
      <alignment horizontal="center" vertical="center" wrapText="1"/>
    </xf>
    <xf numFmtId="166" fontId="21" fillId="24" borderId="41" xfId="40" applyNumberFormat="1" applyFont="1" applyFill="1" applyBorder="1" applyAlignment="1" applyProtection="1">
      <alignment horizontal="center" vertical="center" wrapText="1"/>
    </xf>
    <xf numFmtId="0" fontId="21" fillId="24" borderId="43" xfId="40" applyFont="1" applyFill="1" applyBorder="1" applyAlignment="1" applyProtection="1">
      <alignment horizontal="center" vertical="center" wrapText="1"/>
    </xf>
    <xf numFmtId="166" fontId="21" fillId="28" borderId="43" xfId="40" applyNumberFormat="1" applyFont="1" applyFill="1" applyBorder="1" applyAlignment="1" applyProtection="1">
      <alignment horizontal="center" vertical="center" wrapText="1"/>
    </xf>
    <xf numFmtId="166" fontId="21" fillId="24" borderId="43" xfId="40" applyNumberFormat="1" applyFont="1" applyFill="1" applyBorder="1" applyAlignment="1" applyProtection="1">
      <alignment horizontal="center" vertical="center" wrapText="1"/>
    </xf>
    <xf numFmtId="166" fontId="21" fillId="24" borderId="44" xfId="40" applyNumberFormat="1" applyFont="1" applyFill="1" applyBorder="1" applyAlignment="1" applyProtection="1">
      <alignment horizontal="center" vertical="center" wrapText="1"/>
    </xf>
    <xf numFmtId="0" fontId="21" fillId="0" borderId="0" xfId="40" applyFont="1" applyFill="1" applyAlignment="1" applyProtection="1">
      <alignment horizontal="center" vertical="center"/>
    </xf>
    <xf numFmtId="0" fontId="0" fillId="0" borderId="0" xfId="0" applyFill="1" applyAlignment="1" applyProtection="1"/>
    <xf numFmtId="0" fontId="21" fillId="0" borderId="0" xfId="40" applyFont="1" applyFill="1" applyAlignment="1" applyProtection="1">
      <alignment horizontal="center"/>
    </xf>
    <xf numFmtId="164" fontId="21" fillId="30" borderId="16" xfId="0" applyNumberFormat="1" applyFont="1" applyFill="1" applyBorder="1" applyAlignment="1" applyProtection="1">
      <alignment horizontal="center" vertical="center"/>
    </xf>
    <xf numFmtId="169" fontId="21" fillId="36" borderId="25" xfId="0" applyNumberFormat="1" applyFont="1" applyFill="1" applyBorder="1" applyAlignment="1" applyProtection="1">
      <alignment horizontal="center" vertical="center" wrapText="1"/>
    </xf>
    <xf numFmtId="164" fontId="21" fillId="39" borderId="29" xfId="0" applyNumberFormat="1" applyFont="1" applyFill="1" applyBorder="1" applyAlignment="1" applyProtection="1">
      <alignment horizontal="center" vertical="center"/>
    </xf>
    <xf numFmtId="164" fontId="21" fillId="31" borderId="16" xfId="0" applyNumberFormat="1" applyFont="1" applyFill="1" applyBorder="1" applyAlignment="1" applyProtection="1">
      <alignment horizontal="center" vertical="center"/>
    </xf>
    <xf numFmtId="164" fontId="21" fillId="41" borderId="16" xfId="0" applyNumberFormat="1" applyFont="1" applyFill="1" applyBorder="1" applyAlignment="1" applyProtection="1">
      <alignment horizontal="center" vertical="center" wrapText="1"/>
    </xf>
    <xf numFmtId="176" fontId="21" fillId="41" borderId="16" xfId="0" applyNumberFormat="1" applyFont="1" applyFill="1" applyBorder="1" applyAlignment="1" applyProtection="1">
      <alignment horizontal="center" vertical="center" wrapText="1"/>
    </xf>
    <xf numFmtId="0" fontId="22" fillId="23" borderId="28" xfId="38" applyFont="1" applyFill="1" applyBorder="1" applyAlignment="1" applyProtection="1">
      <alignment horizontal="center" vertical="center" wrapText="1"/>
    </xf>
    <xf numFmtId="178" fontId="21" fillId="30" borderId="36" xfId="38" applyNumberFormat="1" applyFont="1" applyFill="1" applyBorder="1" applyAlignment="1" applyProtection="1">
      <alignment horizontal="center" vertical="center"/>
    </xf>
    <xf numFmtId="0" fontId="56" fillId="23" borderId="28" xfId="38" applyFont="1" applyFill="1" applyBorder="1" applyAlignment="1" applyProtection="1">
      <alignment horizontal="center" vertical="center"/>
    </xf>
    <xf numFmtId="0" fontId="56" fillId="23" borderId="28" xfId="38" applyFont="1" applyFill="1" applyBorder="1" applyAlignment="1" applyProtection="1">
      <alignment horizontal="center" vertical="center" wrapText="1"/>
    </xf>
    <xf numFmtId="0" fontId="53" fillId="23" borderId="28" xfId="38" applyFont="1" applyFill="1" applyBorder="1" applyAlignment="1" applyProtection="1">
      <alignment horizontal="center" vertical="center"/>
    </xf>
    <xf numFmtId="0" fontId="21" fillId="0" borderId="50" xfId="38" applyFont="1" applyFill="1" applyBorder="1" applyAlignment="1" applyProtection="1">
      <alignment horizontal="left"/>
    </xf>
    <xf numFmtId="0" fontId="21" fillId="30" borderId="10" xfId="38" applyFont="1" applyFill="1" applyBorder="1" applyAlignment="1" applyProtection="1"/>
    <xf numFmtId="14" fontId="21" fillId="30" borderId="10" xfId="38" applyNumberFormat="1" applyFont="1" applyFill="1" applyBorder="1" applyAlignment="1" applyProtection="1">
      <alignment horizontal="center" vertical="center"/>
    </xf>
    <xf numFmtId="9" fontId="23" fillId="30" borderId="47" xfId="2" applyFont="1" applyFill="1" applyBorder="1" applyAlignment="1" applyProtection="1">
      <alignment vertical="center"/>
    </xf>
    <xf numFmtId="0" fontId="23" fillId="30" borderId="47" xfId="38" applyFont="1" applyFill="1" applyBorder="1" applyAlignment="1" applyProtection="1">
      <alignment vertical="center"/>
    </xf>
    <xf numFmtId="10" fontId="23" fillId="30" borderId="47" xfId="2" applyNumberFormat="1" applyFont="1" applyFill="1" applyBorder="1" applyAlignment="1" applyProtection="1">
      <alignment vertical="center"/>
    </xf>
    <xf numFmtId="9" fontId="1" fillId="30" borderId="19" xfId="2" applyFill="1" applyBorder="1" applyAlignment="1" applyProtection="1">
      <alignment horizontal="center"/>
    </xf>
    <xf numFmtId="0" fontId="22" fillId="23" borderId="36" xfId="38" applyFont="1" applyFill="1" applyBorder="1" applyAlignment="1" applyProtection="1">
      <alignment horizontal="center" vertical="center"/>
    </xf>
    <xf numFmtId="0" fontId="22" fillId="23" borderId="36" xfId="38" applyFont="1" applyFill="1" applyBorder="1" applyAlignment="1" applyProtection="1">
      <alignment horizontal="center" vertical="center" wrapText="1"/>
    </xf>
    <xf numFmtId="0" fontId="27" fillId="23" borderId="10" xfId="38" applyFont="1" applyFill="1" applyBorder="1" applyAlignment="1" applyProtection="1">
      <alignment horizontal="center" vertical="center"/>
    </xf>
    <xf numFmtId="0" fontId="27" fillId="23" borderId="10" xfId="38" applyFont="1" applyFill="1" applyBorder="1" applyAlignment="1" applyProtection="1">
      <alignment horizontal="center" vertical="center" wrapText="1"/>
    </xf>
    <xf numFmtId="0" fontId="21" fillId="0" borderId="10" xfId="38" applyFont="1" applyFill="1" applyBorder="1" applyAlignment="1" applyProtection="1">
      <alignment horizontal="center" vertical="center"/>
    </xf>
    <xf numFmtId="0" fontId="21" fillId="0" borderId="10" xfId="38" applyFont="1" applyFill="1" applyBorder="1" applyAlignment="1" applyProtection="1">
      <alignment horizontal="center" vertical="center" wrapText="1"/>
    </xf>
    <xf numFmtId="165" fontId="29" fillId="0" borderId="20" xfId="0" applyNumberFormat="1" applyFont="1" applyFill="1" applyBorder="1" applyAlignment="1" applyProtection="1">
      <alignment vertical="center"/>
    </xf>
    <xf numFmtId="2" fontId="21" fillId="0" borderId="0" xfId="0" applyNumberFormat="1" applyFont="1" applyProtection="1"/>
    <xf numFmtId="165" fontId="21" fillId="0" borderId="0" xfId="0" applyNumberFormat="1" applyFont="1" applyProtection="1"/>
    <xf numFmtId="177" fontId="21" fillId="0" borderId="0" xfId="0" applyNumberFormat="1" applyFont="1" applyProtection="1"/>
    <xf numFmtId="0" fontId="21" fillId="42" borderId="10" xfId="0" applyFont="1" applyFill="1" applyBorder="1" applyAlignment="1" applyProtection="1">
      <alignment horizontal="center" vertical="center"/>
    </xf>
    <xf numFmtId="0" fontId="49" fillId="42" borderId="10" xfId="0" applyFont="1" applyFill="1" applyBorder="1" applyAlignment="1" applyProtection="1">
      <alignment horizontal="center" vertical="center"/>
    </xf>
    <xf numFmtId="10" fontId="21" fillId="43" borderId="25" xfId="2" applyNumberFormat="1" applyFont="1" applyFill="1" applyBorder="1" applyAlignment="1" applyProtection="1">
      <alignment horizontal="center" vertical="center" wrapText="1"/>
    </xf>
    <xf numFmtId="164" fontId="21" fillId="42" borderId="16" xfId="0" applyNumberFormat="1" applyFont="1" applyFill="1" applyBorder="1" applyAlignment="1" applyProtection="1">
      <alignment horizontal="center" vertical="center"/>
    </xf>
    <xf numFmtId="10" fontId="21" fillId="42" borderId="25" xfId="0" applyNumberFormat="1" applyFont="1" applyFill="1" applyBorder="1" applyAlignment="1" applyProtection="1">
      <alignment vertical="center" wrapText="1"/>
    </xf>
    <xf numFmtId="164" fontId="21" fillId="42" borderId="16" xfId="0" applyNumberFormat="1" applyFont="1" applyFill="1" applyBorder="1" applyAlignment="1" applyProtection="1">
      <alignment horizontal="center" vertical="center" wrapText="1"/>
    </xf>
    <xf numFmtId="10" fontId="29" fillId="43" borderId="25" xfId="2" applyNumberFormat="1" applyFont="1" applyFill="1" applyBorder="1" applyAlignment="1" applyProtection="1">
      <alignment horizontal="center" vertical="center" wrapText="1"/>
    </xf>
    <xf numFmtId="164" fontId="29" fillId="42" borderId="16" xfId="0" applyNumberFormat="1" applyFont="1" applyFill="1" applyBorder="1" applyAlignment="1" applyProtection="1">
      <alignment horizontal="center" vertical="center"/>
    </xf>
    <xf numFmtId="0" fontId="50" fillId="29" borderId="0" xfId="38" applyFont="1" applyFill="1" applyAlignment="1" applyProtection="1">
      <alignment horizontal="center" vertical="center" wrapText="1"/>
    </xf>
    <xf numFmtId="0" fontId="21" fillId="0" borderId="10" xfId="0" applyFont="1" applyFill="1" applyBorder="1" applyAlignment="1" applyProtection="1">
      <alignment horizontal="left" vertical="center" wrapText="1"/>
    </xf>
    <xf numFmtId="0" fontId="21" fillId="0" borderId="21" xfId="0" applyFont="1" applyFill="1" applyBorder="1" applyAlignment="1" applyProtection="1">
      <alignment horizontal="left" vertical="center" wrapText="1"/>
    </xf>
    <xf numFmtId="49" fontId="22" fillId="23" borderId="16" xfId="0" applyNumberFormat="1" applyFont="1" applyFill="1" applyBorder="1" applyAlignment="1" applyProtection="1">
      <alignment horizontal="center" vertical="center" wrapText="1"/>
    </xf>
    <xf numFmtId="0" fontId="21" fillId="0" borderId="16" xfId="0" applyFont="1" applyFill="1" applyBorder="1" applyAlignment="1" applyProtection="1">
      <alignment horizontal="left" vertical="center" wrapText="1"/>
    </xf>
    <xf numFmtId="0" fontId="22" fillId="23" borderId="16" xfId="0" applyFont="1" applyFill="1" applyBorder="1" applyAlignment="1" applyProtection="1">
      <alignment horizontal="center" vertical="center"/>
    </xf>
    <xf numFmtId="0" fontId="29" fillId="26" borderId="16" xfId="0" applyFont="1" applyFill="1" applyBorder="1" applyAlignment="1" applyProtection="1">
      <alignment horizontal="left" vertical="center" wrapText="1"/>
    </xf>
    <xf numFmtId="0" fontId="29" fillId="27" borderId="16" xfId="0" applyFont="1" applyFill="1" applyBorder="1" applyAlignment="1" applyProtection="1">
      <alignment horizontal="center" vertical="center" wrapText="1"/>
    </xf>
    <xf numFmtId="0" fontId="29" fillId="26" borderId="16" xfId="0" applyFont="1" applyFill="1" applyBorder="1" applyAlignment="1" applyProtection="1">
      <alignment horizontal="left" vertical="center"/>
    </xf>
    <xf numFmtId="0" fontId="21" fillId="0" borderId="19" xfId="0" applyFont="1" applyFill="1" applyBorder="1" applyAlignment="1" applyProtection="1">
      <alignment horizontal="left" vertical="center"/>
    </xf>
    <xf numFmtId="0" fontId="21" fillId="0" borderId="14" xfId="0" applyFont="1" applyFill="1" applyBorder="1" applyAlignment="1" applyProtection="1">
      <alignment horizontal="left" vertical="center"/>
    </xf>
    <xf numFmtId="0" fontId="21" fillId="0" borderId="21" xfId="0" applyFont="1" applyFill="1" applyBorder="1" applyAlignment="1" applyProtection="1">
      <alignment horizontal="left" vertical="center"/>
    </xf>
    <xf numFmtId="0" fontId="21" fillId="0" borderId="16" xfId="0" applyFont="1" applyFill="1" applyBorder="1" applyAlignment="1" applyProtection="1">
      <alignment horizontal="left" vertical="center"/>
    </xf>
    <xf numFmtId="0" fontId="29" fillId="0" borderId="16" xfId="0" applyFont="1" applyFill="1" applyBorder="1" applyAlignment="1" applyProtection="1">
      <alignment horizontal="left" vertical="center" wrapText="1"/>
    </xf>
    <xf numFmtId="0" fontId="21" fillId="31" borderId="16" xfId="0" applyFont="1" applyFill="1" applyBorder="1" applyAlignment="1" applyProtection="1">
      <alignment horizontal="left" vertical="center" wrapText="1"/>
    </xf>
    <xf numFmtId="0" fontId="21" fillId="34" borderId="16" xfId="0" applyFont="1" applyFill="1" applyBorder="1" applyAlignment="1" applyProtection="1">
      <alignment horizontal="left" vertical="center" wrapText="1"/>
    </xf>
    <xf numFmtId="0" fontId="22" fillId="23" borderId="24" xfId="0" applyFont="1" applyFill="1" applyBorder="1" applyAlignment="1" applyProtection="1">
      <alignment horizontal="center" vertical="center"/>
    </xf>
    <xf numFmtId="0" fontId="21" fillId="0" borderId="32" xfId="0" applyFont="1" applyFill="1" applyBorder="1" applyAlignment="1" applyProtection="1">
      <alignment horizontal="left" vertical="center" wrapText="1"/>
    </xf>
    <xf numFmtId="0" fontId="21" fillId="33" borderId="16" xfId="0" applyFont="1" applyFill="1" applyBorder="1" applyAlignment="1" applyProtection="1">
      <alignment horizontal="left" vertical="center" wrapText="1"/>
    </xf>
    <xf numFmtId="0" fontId="21" fillId="24" borderId="16" xfId="0" applyFont="1" applyFill="1" applyBorder="1" applyAlignment="1" applyProtection="1">
      <alignment horizontal="left" vertical="center" wrapText="1"/>
    </xf>
    <xf numFmtId="0" fontId="21" fillId="0" borderId="19" xfId="0" applyFont="1" applyFill="1" applyBorder="1" applyAlignment="1" applyProtection="1">
      <alignment horizontal="left" vertical="center" wrapText="1"/>
    </xf>
    <xf numFmtId="0" fontId="21" fillId="0" borderId="14" xfId="0" applyFont="1" applyFill="1" applyBorder="1" applyAlignment="1" applyProtection="1">
      <alignment horizontal="left" vertical="center" wrapText="1"/>
    </xf>
    <xf numFmtId="0" fontId="29" fillId="27" borderId="16" xfId="0" applyFont="1" applyFill="1" applyBorder="1" applyAlignment="1" applyProtection="1">
      <alignment horizontal="center" vertical="center"/>
    </xf>
    <xf numFmtId="0" fontId="29" fillId="26" borderId="36" xfId="0" applyFont="1" applyFill="1" applyBorder="1" applyAlignment="1" applyProtection="1">
      <alignment horizontal="center" vertical="center" wrapText="1"/>
    </xf>
    <xf numFmtId="0" fontId="21" fillId="36" borderId="13" xfId="0" applyFont="1" applyFill="1" applyBorder="1" applyAlignment="1" applyProtection="1">
      <alignment horizontal="left" vertical="center" wrapText="1"/>
    </xf>
    <xf numFmtId="0" fontId="21" fillId="36" borderId="11" xfId="0" applyFont="1" applyFill="1" applyBorder="1" applyAlignment="1" applyProtection="1">
      <alignment horizontal="left" vertical="center" wrapText="1"/>
    </xf>
    <xf numFmtId="0" fontId="21" fillId="36" borderId="51" xfId="0" applyFont="1" applyFill="1" applyBorder="1" applyAlignment="1" applyProtection="1">
      <alignment horizontal="left" vertical="center" wrapText="1"/>
    </xf>
    <xf numFmtId="0" fontId="21" fillId="36" borderId="16" xfId="0" applyFont="1" applyFill="1" applyBorder="1" applyAlignment="1" applyProtection="1">
      <alignment horizontal="left" vertical="center" wrapText="1"/>
    </xf>
    <xf numFmtId="0" fontId="21" fillId="29" borderId="16" xfId="0" applyFont="1" applyFill="1" applyBorder="1" applyAlignment="1" applyProtection="1">
      <alignment horizontal="left" vertical="center" wrapText="1"/>
    </xf>
    <xf numFmtId="0" fontId="21" fillId="26" borderId="16" xfId="0" applyFont="1" applyFill="1" applyBorder="1" applyAlignment="1" applyProtection="1">
      <alignment horizontal="left" vertical="center" wrapText="1"/>
    </xf>
    <xf numFmtId="0" fontId="21" fillId="30" borderId="16" xfId="0" applyFont="1" applyFill="1" applyBorder="1" applyAlignment="1" applyProtection="1">
      <alignment horizontal="left" vertical="center" wrapText="1"/>
    </xf>
    <xf numFmtId="164" fontId="21" fillId="0" borderId="29" xfId="0" applyNumberFormat="1" applyFont="1" applyFill="1" applyBorder="1" applyAlignment="1" applyProtection="1">
      <alignment horizontal="center" vertical="top"/>
    </xf>
    <xf numFmtId="164" fontId="21" fillId="0" borderId="46" xfId="0" applyNumberFormat="1" applyFont="1" applyFill="1" applyBorder="1" applyAlignment="1" applyProtection="1">
      <alignment horizontal="center" vertical="top"/>
    </xf>
    <xf numFmtId="164" fontId="21" fillId="0" borderId="24" xfId="0" applyNumberFormat="1" applyFont="1" applyFill="1" applyBorder="1" applyAlignment="1" applyProtection="1">
      <alignment horizontal="center" vertical="top"/>
    </xf>
    <xf numFmtId="0" fontId="29" fillId="26" borderId="21" xfId="0" applyFont="1" applyFill="1" applyBorder="1" applyAlignment="1" applyProtection="1">
      <alignment horizontal="left" vertical="center" wrapText="1"/>
    </xf>
    <xf numFmtId="164" fontId="21" fillId="0" borderId="29" xfId="0" applyNumberFormat="1" applyFont="1" applyFill="1" applyBorder="1" applyAlignment="1" applyProtection="1">
      <alignment horizontal="center" vertical="top" wrapText="1"/>
    </xf>
    <xf numFmtId="164" fontId="21" fillId="0" borderId="46" xfId="0" applyNumberFormat="1" applyFont="1" applyFill="1" applyBorder="1" applyAlignment="1" applyProtection="1">
      <alignment horizontal="center" vertical="top" wrapText="1"/>
    </xf>
    <xf numFmtId="164" fontId="21" fillId="0" borderId="24" xfId="0" applyNumberFormat="1" applyFont="1" applyFill="1" applyBorder="1" applyAlignment="1" applyProtection="1">
      <alignment horizontal="center" vertical="top" wrapText="1"/>
    </xf>
    <xf numFmtId="0" fontId="21" fillId="30" borderId="19" xfId="0" applyFont="1" applyFill="1" applyBorder="1" applyAlignment="1" applyProtection="1">
      <alignment horizontal="left" vertical="center" wrapText="1"/>
    </xf>
    <xf numFmtId="0" fontId="21" fillId="30" borderId="14" xfId="0" applyFont="1" applyFill="1" applyBorder="1" applyAlignment="1" applyProtection="1">
      <alignment horizontal="left" vertical="center" wrapText="1"/>
    </xf>
    <xf numFmtId="0" fontId="21" fillId="30" borderId="21" xfId="0" applyFont="1" applyFill="1" applyBorder="1" applyAlignment="1" applyProtection="1">
      <alignment horizontal="left" vertical="center" wrapText="1"/>
    </xf>
    <xf numFmtId="0" fontId="21" fillId="29" borderId="19" xfId="0" applyFont="1" applyFill="1" applyBorder="1" applyAlignment="1" applyProtection="1">
      <alignment horizontal="left" vertical="center" wrapText="1"/>
    </xf>
    <xf numFmtId="0" fontId="21" fillId="29" borderId="14" xfId="0" applyFont="1" applyFill="1" applyBorder="1" applyAlignment="1" applyProtection="1">
      <alignment horizontal="left" vertical="center" wrapText="1"/>
    </xf>
    <xf numFmtId="0" fontId="21" fillId="29" borderId="21" xfId="0" applyFont="1" applyFill="1" applyBorder="1" applyAlignment="1" applyProtection="1">
      <alignment horizontal="left" vertical="center" wrapText="1"/>
    </xf>
    <xf numFmtId="0" fontId="21" fillId="0" borderId="29" xfId="0" applyFont="1" applyFill="1" applyBorder="1" applyAlignment="1" applyProtection="1">
      <alignment horizontal="left" vertical="center" wrapText="1"/>
    </xf>
    <xf numFmtId="0" fontId="38" fillId="0" borderId="19" xfId="0" applyFont="1" applyFill="1" applyBorder="1" applyAlignment="1" applyProtection="1">
      <alignment horizontal="left" vertical="center" wrapText="1"/>
    </xf>
    <xf numFmtId="0" fontId="38" fillId="0" borderId="14" xfId="0" applyFont="1" applyFill="1" applyBorder="1" applyAlignment="1" applyProtection="1">
      <alignment horizontal="left" vertical="center" wrapText="1"/>
    </xf>
    <xf numFmtId="0" fontId="21" fillId="0" borderId="45" xfId="0" applyFont="1" applyFill="1" applyBorder="1" applyAlignment="1" applyProtection="1">
      <alignment horizontal="right" vertical="center" wrapText="1"/>
    </xf>
    <xf numFmtId="0" fontId="21" fillId="0" borderId="48" xfId="0" applyFont="1" applyFill="1" applyBorder="1" applyAlignment="1" applyProtection="1">
      <alignment horizontal="right" vertical="center" wrapText="1"/>
    </xf>
    <xf numFmtId="0" fontId="21" fillId="0" borderId="49" xfId="0" applyFont="1" applyFill="1" applyBorder="1" applyAlignment="1" applyProtection="1">
      <alignment horizontal="right" vertical="center" wrapText="1"/>
    </xf>
    <xf numFmtId="0" fontId="22" fillId="23" borderId="16" xfId="0" applyFont="1" applyFill="1" applyBorder="1" applyAlignment="1" applyProtection="1">
      <alignment horizontal="center" vertical="center" wrapText="1"/>
    </xf>
    <xf numFmtId="0" fontId="22" fillId="23" borderId="24" xfId="0" applyFont="1" applyFill="1" applyBorder="1" applyAlignment="1" applyProtection="1">
      <alignment horizontal="center" vertical="center" wrapText="1"/>
    </xf>
    <xf numFmtId="0" fontId="29" fillId="26" borderId="16" xfId="0" applyFont="1" applyFill="1" applyBorder="1" applyAlignment="1" applyProtection="1">
      <alignment horizontal="center" vertical="center" wrapText="1"/>
    </xf>
    <xf numFmtId="0" fontId="21" fillId="0" borderId="16" xfId="0" applyFont="1" applyFill="1" applyBorder="1" applyAlignment="1" applyProtection="1">
      <alignment horizontal="justify" vertical="center" wrapText="1"/>
    </xf>
    <xf numFmtId="1" fontId="21" fillId="0" borderId="20" xfId="0" applyNumberFormat="1" applyFont="1" applyFill="1" applyBorder="1" applyAlignment="1" applyProtection="1">
      <alignment horizontal="center" vertical="center"/>
    </xf>
    <xf numFmtId="1" fontId="21" fillId="0" borderId="21" xfId="0" applyNumberFormat="1" applyFont="1" applyFill="1" applyBorder="1" applyAlignment="1" applyProtection="1">
      <alignment horizontal="center" vertical="center"/>
    </xf>
    <xf numFmtId="1" fontId="21" fillId="0" borderId="54" xfId="0" applyNumberFormat="1" applyFont="1" applyFill="1" applyBorder="1" applyAlignment="1" applyProtection="1">
      <alignment horizontal="center" vertical="center"/>
    </xf>
    <xf numFmtId="166" fontId="29" fillId="0" borderId="55" xfId="0" applyNumberFormat="1" applyFont="1" applyFill="1" applyBorder="1" applyAlignment="1" applyProtection="1">
      <alignment horizontal="center" vertical="center"/>
    </xf>
    <xf numFmtId="166" fontId="29" fillId="0" borderId="56" xfId="0" applyNumberFormat="1" applyFont="1" applyFill="1" applyBorder="1" applyAlignment="1" applyProtection="1">
      <alignment horizontal="center" vertical="center"/>
    </xf>
    <xf numFmtId="14" fontId="21" fillId="0" borderId="53" xfId="0" applyNumberFormat="1" applyFont="1" applyFill="1" applyBorder="1" applyAlignment="1" applyProtection="1">
      <alignment horizontal="center" vertical="center"/>
    </xf>
    <xf numFmtId="166" fontId="21" fillId="0" borderId="18" xfId="0" applyNumberFormat="1" applyFont="1" applyFill="1" applyBorder="1" applyAlignment="1" applyProtection="1">
      <alignment horizontal="center" vertical="center"/>
    </xf>
    <xf numFmtId="166" fontId="21" fillId="0" borderId="18" xfId="0" applyNumberFormat="1" applyFont="1" applyFill="1" applyBorder="1" applyAlignment="1" applyProtection="1">
      <alignment horizontal="center" vertical="center" wrapText="1"/>
    </xf>
    <xf numFmtId="0" fontId="21" fillId="0" borderId="18" xfId="0" applyFont="1" applyFill="1" applyBorder="1" applyAlignment="1" applyProtection="1">
      <alignment horizontal="center" vertical="center" wrapText="1"/>
    </xf>
    <xf numFmtId="14" fontId="29" fillId="0" borderId="18" xfId="0" applyNumberFormat="1" applyFont="1" applyFill="1" applyBorder="1" applyAlignment="1" applyProtection="1">
      <alignment horizontal="center" vertical="center" wrapText="1"/>
    </xf>
    <xf numFmtId="14" fontId="21" fillId="0" borderId="17" xfId="0" applyNumberFormat="1" applyFont="1" applyFill="1" applyBorder="1" applyAlignment="1" applyProtection="1">
      <alignment horizontal="center" vertical="center" wrapText="1"/>
    </xf>
    <xf numFmtId="0" fontId="47" fillId="25" borderId="12" xfId="0" applyFont="1" applyFill="1" applyBorder="1" applyAlignment="1" applyProtection="1">
      <alignment horizontal="center" vertical="center" wrapText="1"/>
    </xf>
    <xf numFmtId="0" fontId="46" fillId="25" borderId="0" xfId="0" applyFont="1" applyFill="1" applyBorder="1" applyAlignment="1" applyProtection="1">
      <alignment horizontal="center" vertical="center" wrapText="1"/>
    </xf>
    <xf numFmtId="0" fontId="21" fillId="0" borderId="12" xfId="0" applyFont="1" applyFill="1" applyBorder="1" applyAlignment="1" applyProtection="1">
      <alignment horizontal="left" vertical="center" wrapText="1"/>
    </xf>
    <xf numFmtId="0" fontId="21" fillId="0" borderId="13" xfId="0" applyFont="1" applyFill="1" applyBorder="1" applyAlignment="1" applyProtection="1">
      <alignment horizontal="left" vertical="center" wrapText="1"/>
    </xf>
    <xf numFmtId="0" fontId="0" fillId="0" borderId="14" xfId="0" applyFill="1" applyBorder="1" applyProtection="1"/>
    <xf numFmtId="0" fontId="29" fillId="26" borderId="15" xfId="0" applyFont="1" applyFill="1" applyBorder="1" applyAlignment="1" applyProtection="1">
      <alignment horizontal="center" vertical="center" wrapText="1"/>
    </xf>
    <xf numFmtId="0" fontId="52" fillId="23" borderId="11" xfId="38" applyFont="1" applyFill="1" applyBorder="1" applyAlignment="1" applyProtection="1">
      <alignment horizontal="center"/>
    </xf>
    <xf numFmtId="0" fontId="21" fillId="0" borderId="10" xfId="38" applyFont="1" applyFill="1" applyBorder="1" applyAlignment="1" applyProtection="1">
      <alignment horizontal="center"/>
    </xf>
    <xf numFmtId="0" fontId="22" fillId="23" borderId="11" xfId="38" applyFont="1" applyFill="1" applyBorder="1" applyAlignment="1" applyProtection="1">
      <alignment horizontal="center"/>
    </xf>
    <xf numFmtId="0" fontId="22" fillId="0" borderId="0" xfId="38" applyFont="1" applyFill="1" applyBorder="1" applyAlignment="1" applyProtection="1">
      <alignment horizontal="center"/>
    </xf>
    <xf numFmtId="0" fontId="22" fillId="0" borderId="11" xfId="38" applyFont="1" applyFill="1" applyBorder="1" applyAlignment="1" applyProtection="1">
      <alignment horizontal="center"/>
    </xf>
    <xf numFmtId="0" fontId="51" fillId="35" borderId="15" xfId="38" applyFont="1" applyFill="1" applyBorder="1" applyAlignment="1" applyProtection="1">
      <alignment horizontal="center" vertical="center" wrapText="1"/>
    </xf>
    <xf numFmtId="0" fontId="51" fillId="35" borderId="30" xfId="38" applyFont="1" applyFill="1" applyBorder="1" applyAlignment="1" applyProtection="1">
      <alignment horizontal="center" vertical="center" wrapText="1"/>
    </xf>
    <xf numFmtId="0" fontId="51" fillId="35" borderId="57" xfId="38" applyFont="1" applyFill="1" applyBorder="1" applyAlignment="1" applyProtection="1">
      <alignment horizontal="center" vertical="center" wrapText="1"/>
    </xf>
    <xf numFmtId="0" fontId="51" fillId="23" borderId="15" xfId="38" applyFont="1" applyFill="1" applyBorder="1" applyAlignment="1" applyProtection="1">
      <alignment horizontal="center" vertical="center" wrapText="1"/>
    </xf>
    <xf numFmtId="0" fontId="51" fillId="23" borderId="30" xfId="38" applyFont="1" applyFill="1" applyBorder="1" applyAlignment="1" applyProtection="1">
      <alignment horizontal="center" vertical="center" wrapText="1"/>
    </xf>
    <xf numFmtId="0" fontId="51" fillId="23" borderId="57" xfId="38" applyFont="1" applyFill="1" applyBorder="1" applyAlignment="1" applyProtection="1">
      <alignment horizontal="center" vertical="center" wrapText="1"/>
    </xf>
    <xf numFmtId="0" fontId="22" fillId="23" borderId="11" xfId="38" applyFont="1" applyFill="1" applyBorder="1" applyAlignment="1" applyProtection="1">
      <alignment horizontal="center" vertical="center"/>
    </xf>
    <xf numFmtId="0" fontId="22" fillId="23" borderId="51" xfId="38" applyFont="1" applyFill="1" applyBorder="1" applyAlignment="1" applyProtection="1">
      <alignment horizontal="center" vertical="center"/>
    </xf>
    <xf numFmtId="0" fontId="21" fillId="0" borderId="36" xfId="38" applyFont="1" applyFill="1" applyBorder="1" applyAlignment="1" applyProtection="1">
      <alignment horizontal="center" vertical="center"/>
    </xf>
    <xf numFmtId="0" fontId="22" fillId="35" borderId="19" xfId="38" applyFont="1" applyFill="1" applyBorder="1" applyAlignment="1" applyProtection="1">
      <alignment horizontal="center"/>
      <protection locked="0"/>
    </xf>
    <xf numFmtId="0" fontId="22" fillId="35" borderId="50" xfId="38" applyFont="1" applyFill="1" applyBorder="1" applyAlignment="1" applyProtection="1">
      <alignment horizontal="center"/>
      <protection locked="0"/>
    </xf>
    <xf numFmtId="0" fontId="52" fillId="23" borderId="59" xfId="38" applyFont="1" applyFill="1" applyBorder="1" applyAlignment="1" applyProtection="1">
      <alignment horizontal="center" vertical="center"/>
    </xf>
    <xf numFmtId="0" fontId="52" fillId="23" borderId="60" xfId="38" applyFont="1" applyFill="1" applyBorder="1" applyAlignment="1" applyProtection="1">
      <alignment horizontal="center" vertical="center"/>
    </xf>
    <xf numFmtId="0" fontId="52" fillId="23" borderId="61" xfId="38" applyFont="1" applyFill="1" applyBorder="1" applyAlignment="1" applyProtection="1">
      <alignment horizontal="center" vertical="center"/>
    </xf>
    <xf numFmtId="0" fontId="21" fillId="0" borderId="12" xfId="0" applyFont="1" applyFill="1" applyBorder="1" applyAlignment="1" applyProtection="1">
      <alignment horizontal="center" vertical="center" wrapText="1"/>
    </xf>
    <xf numFmtId="0" fontId="21" fillId="0" borderId="0" xfId="0" applyFont="1" applyFill="1" applyBorder="1" applyAlignment="1" applyProtection="1">
      <alignment horizontal="center" vertical="center" wrapText="1"/>
    </xf>
    <xf numFmtId="0" fontId="21" fillId="0" borderId="13" xfId="0" applyFont="1" applyFill="1" applyBorder="1" applyAlignment="1" applyProtection="1">
      <alignment horizontal="center" vertical="center" wrapText="1"/>
    </xf>
    <xf numFmtId="0" fontId="21" fillId="0" borderId="11" xfId="0" applyFont="1" applyFill="1" applyBorder="1" applyAlignment="1" applyProtection="1">
      <alignment horizontal="center" vertical="center" wrapText="1"/>
    </xf>
    <xf numFmtId="0" fontId="0" fillId="0" borderId="63" xfId="0" applyFill="1" applyBorder="1" applyAlignment="1" applyProtection="1">
      <alignment horizontal="center"/>
    </xf>
    <xf numFmtId="0" fontId="29" fillId="0" borderId="19" xfId="0" applyFont="1" applyFill="1" applyBorder="1" applyAlignment="1" applyProtection="1">
      <alignment horizontal="left" vertical="center" wrapText="1"/>
    </xf>
    <xf numFmtId="0" fontId="29" fillId="0" borderId="14" xfId="0" applyFont="1" applyFill="1" applyBorder="1" applyAlignment="1" applyProtection="1">
      <alignment horizontal="left" vertical="center" wrapText="1"/>
    </xf>
    <xf numFmtId="0" fontId="29" fillId="0" borderId="21" xfId="0" applyFont="1" applyFill="1" applyBorder="1" applyAlignment="1" applyProtection="1">
      <alignment horizontal="left" vertical="center" wrapText="1"/>
    </xf>
    <xf numFmtId="164" fontId="21" fillId="0" borderId="16" xfId="0" applyNumberFormat="1" applyFont="1" applyFill="1" applyBorder="1" applyAlignment="1" applyProtection="1">
      <alignment horizontal="center" vertical="top"/>
    </xf>
    <xf numFmtId="164" fontId="21" fillId="0" borderId="16" xfId="0" applyNumberFormat="1" applyFont="1" applyFill="1" applyBorder="1" applyAlignment="1" applyProtection="1">
      <alignment horizontal="center" vertical="top" wrapText="1"/>
    </xf>
    <xf numFmtId="1" fontId="21" fillId="0" borderId="18" xfId="0" applyNumberFormat="1" applyFont="1" applyFill="1" applyBorder="1" applyAlignment="1" applyProtection="1">
      <alignment horizontal="center" vertical="center"/>
    </xf>
    <xf numFmtId="166" fontId="29" fillId="0" borderId="18" xfId="0" applyNumberFormat="1" applyFont="1" applyFill="1" applyBorder="1" applyAlignment="1" applyProtection="1">
      <alignment horizontal="center" vertical="center"/>
    </xf>
    <xf numFmtId="14" fontId="21" fillId="0" borderId="18" xfId="0" applyNumberFormat="1" applyFont="1" applyFill="1" applyBorder="1" applyAlignment="1" applyProtection="1">
      <alignment horizontal="center" vertical="center"/>
    </xf>
    <xf numFmtId="0" fontId="21" fillId="25" borderId="12" xfId="0" applyFont="1" applyFill="1" applyBorder="1" applyAlignment="1" applyProtection="1">
      <alignment horizontal="center" vertical="center" wrapText="1"/>
    </xf>
    <xf numFmtId="0" fontId="29" fillId="26" borderId="12" xfId="0" applyFont="1" applyFill="1" applyBorder="1" applyAlignment="1" applyProtection="1">
      <alignment horizontal="center" vertical="center" wrapText="1"/>
    </xf>
    <xf numFmtId="0" fontId="29" fillId="0" borderId="18" xfId="0" applyFont="1" applyFill="1" applyBorder="1" applyAlignment="1" applyProtection="1">
      <alignment horizontal="center" vertical="center" wrapText="1"/>
    </xf>
    <xf numFmtId="0" fontId="21" fillId="0" borderId="62" xfId="0" applyFont="1" applyFill="1" applyBorder="1" applyAlignment="1" applyProtection="1">
      <alignment horizontal="center" vertical="center" wrapText="1"/>
    </xf>
    <xf numFmtId="0" fontId="21" fillId="0" borderId="52" xfId="0" applyFont="1" applyFill="1" applyBorder="1" applyAlignment="1" applyProtection="1">
      <alignment horizontal="center" vertical="center" wrapText="1"/>
    </xf>
    <xf numFmtId="0" fontId="0" fillId="0" borderId="14" xfId="0" applyFill="1" applyBorder="1" applyAlignment="1" applyProtection="1">
      <alignment horizontal="center"/>
    </xf>
    <xf numFmtId="14" fontId="21" fillId="0" borderId="12" xfId="0" applyNumberFormat="1" applyFont="1" applyFill="1" applyBorder="1" applyAlignment="1" applyProtection="1">
      <alignment horizontal="center" vertical="center" wrapText="1"/>
    </xf>
    <xf numFmtId="14" fontId="21" fillId="0" borderId="13" xfId="0" applyNumberFormat="1" applyFont="1" applyFill="1" applyBorder="1" applyAlignment="1" applyProtection="1">
      <alignment horizontal="center" vertical="center" wrapText="1"/>
    </xf>
    <xf numFmtId="20" fontId="0" fillId="0" borderId="14" xfId="0" applyNumberFormat="1" applyFill="1" applyBorder="1" applyAlignment="1" applyProtection="1">
      <alignment horizontal="center"/>
    </xf>
    <xf numFmtId="0" fontId="21" fillId="25" borderId="0" xfId="0" applyFont="1" applyFill="1" applyBorder="1" applyAlignment="1" applyProtection="1">
      <alignment horizontal="center" vertical="center" wrapText="1"/>
    </xf>
    <xf numFmtId="0" fontId="21" fillId="25" borderId="62" xfId="0" applyFont="1" applyFill="1" applyBorder="1" applyAlignment="1" applyProtection="1">
      <alignment horizontal="center" vertical="center" wrapText="1"/>
    </xf>
    <xf numFmtId="0" fontId="20" fillId="0" borderId="0" xfId="40" applyFont="1" applyFill="1" applyAlignment="1" applyProtection="1">
      <alignment horizontal="center" vertical="center"/>
    </xf>
    <xf numFmtId="0" fontId="0" fillId="0" borderId="0" xfId="0" applyFill="1" applyProtection="1"/>
    <xf numFmtId="0" fontId="21" fillId="0" borderId="40" xfId="40" applyFont="1" applyFill="1" applyBorder="1" applyAlignment="1" applyProtection="1">
      <alignment horizontal="center" vertical="center"/>
    </xf>
    <xf numFmtId="0" fontId="21" fillId="0" borderId="42" xfId="0" applyFont="1" applyBorder="1" applyAlignment="1" applyProtection="1">
      <alignment horizontal="center" vertical="center" wrapText="1"/>
    </xf>
    <xf numFmtId="0" fontId="21" fillId="0" borderId="43" xfId="0" applyFont="1" applyBorder="1" applyAlignment="1" applyProtection="1">
      <alignment horizontal="center" vertical="center" wrapText="1"/>
    </xf>
    <xf numFmtId="0" fontId="47" fillId="25" borderId="12" xfId="0" applyFont="1" applyFill="1" applyBorder="1" applyAlignment="1" applyProtection="1">
      <alignment horizontal="left" vertical="center" wrapText="1"/>
    </xf>
    <xf numFmtId="0" fontId="46" fillId="25" borderId="0" xfId="0" applyFont="1" applyFill="1" applyBorder="1" applyAlignment="1" applyProtection="1">
      <alignment horizontal="left" vertical="center" wrapText="1"/>
    </xf>
    <xf numFmtId="0" fontId="21" fillId="0" borderId="47" xfId="38" applyFont="1" applyFill="1" applyBorder="1" applyAlignment="1" applyProtection="1">
      <alignment horizontal="center" vertical="center"/>
    </xf>
    <xf numFmtId="0" fontId="21" fillId="0" borderId="58" xfId="38" applyFont="1" applyFill="1" applyBorder="1" applyAlignment="1" applyProtection="1">
      <alignment horizontal="center" vertical="center"/>
    </xf>
    <xf numFmtId="0" fontId="22" fillId="35" borderId="19" xfId="38" applyFont="1" applyFill="1" applyBorder="1" applyAlignment="1" applyProtection="1">
      <alignment horizontal="center"/>
    </xf>
    <xf numFmtId="0" fontId="22" fillId="35" borderId="50" xfId="38" applyFont="1" applyFill="1" applyBorder="1" applyAlignment="1" applyProtection="1">
      <alignment horizontal="center"/>
    </xf>
    <xf numFmtId="0" fontId="29" fillId="24" borderId="16" xfId="0" applyFont="1" applyFill="1" applyBorder="1" applyAlignment="1" applyProtection="1">
      <alignment horizontal="left" vertical="center" wrapText="1"/>
    </xf>
    <xf numFmtId="0" fontId="29" fillId="30" borderId="16" xfId="0" applyFont="1" applyFill="1" applyBorder="1" applyAlignment="1" applyProtection="1">
      <alignment horizontal="left" vertical="center" wrapText="1"/>
    </xf>
    <xf numFmtId="0" fontId="49" fillId="42" borderId="16" xfId="0" applyFont="1" applyFill="1" applyBorder="1" applyAlignment="1" applyProtection="1">
      <alignment horizontal="left" vertical="center" wrapText="1"/>
    </xf>
    <xf numFmtId="0" fontId="49" fillId="42" borderId="19" xfId="0" applyFont="1" applyFill="1" applyBorder="1" applyAlignment="1" applyProtection="1">
      <alignment horizontal="left" vertical="center" wrapText="1"/>
    </xf>
    <xf numFmtId="0" fontId="49" fillId="42" borderId="14" xfId="0" applyFont="1" applyFill="1" applyBorder="1" applyAlignment="1" applyProtection="1">
      <alignment horizontal="left" vertical="center" wrapText="1"/>
    </xf>
    <xf numFmtId="0" fontId="49" fillId="42" borderId="21" xfId="0" applyFont="1" applyFill="1" applyBorder="1" applyAlignment="1" applyProtection="1">
      <alignment horizontal="left" vertical="center" wrapText="1"/>
    </xf>
    <xf numFmtId="0" fontId="56" fillId="23" borderId="36" xfId="38" applyFont="1" applyFill="1" applyBorder="1" applyAlignment="1" applyProtection="1">
      <alignment horizontal="center" vertical="center"/>
    </xf>
  </cellXfs>
  <cellStyles count="62">
    <cellStyle name="20% - Ênfase1 2" xfId="9" xr:uid="{00000000-0005-0000-0000-000000000000}"/>
    <cellStyle name="20% - Ênfase2 2" xfId="10" xr:uid="{00000000-0005-0000-0000-000001000000}"/>
    <cellStyle name="20% - Ênfase3 2" xfId="11" xr:uid="{00000000-0005-0000-0000-000002000000}"/>
    <cellStyle name="20% - Ênfase4 2" xfId="12" xr:uid="{00000000-0005-0000-0000-000003000000}"/>
    <cellStyle name="20% - Ênfase5 2" xfId="13" xr:uid="{00000000-0005-0000-0000-000004000000}"/>
    <cellStyle name="20% - Ênfase6 2" xfId="14" xr:uid="{00000000-0005-0000-0000-000005000000}"/>
    <cellStyle name="40% - Ênfase1 2" xfId="15" xr:uid="{00000000-0005-0000-0000-000006000000}"/>
    <cellStyle name="40% - Ênfase2 2" xfId="16" xr:uid="{00000000-0005-0000-0000-000007000000}"/>
    <cellStyle name="40% - Ênfase3 2" xfId="17" xr:uid="{00000000-0005-0000-0000-000008000000}"/>
    <cellStyle name="40% - Ênfase4 2" xfId="18" xr:uid="{00000000-0005-0000-0000-000009000000}"/>
    <cellStyle name="40% - Ênfase5 2" xfId="19" xr:uid="{00000000-0005-0000-0000-00000A000000}"/>
    <cellStyle name="40% - Ênfase6 2" xfId="20" xr:uid="{00000000-0005-0000-0000-00000B000000}"/>
    <cellStyle name="60% - Ênfase1 2" xfId="21" xr:uid="{00000000-0005-0000-0000-00000C000000}"/>
    <cellStyle name="60% - Ênfase2 2" xfId="22" xr:uid="{00000000-0005-0000-0000-00000D000000}"/>
    <cellStyle name="60% - Ênfase3 2" xfId="23" xr:uid="{00000000-0005-0000-0000-00000E000000}"/>
    <cellStyle name="60% - Ênfase4 2" xfId="24" xr:uid="{00000000-0005-0000-0000-00000F000000}"/>
    <cellStyle name="60% - Ênfase5 2" xfId="25" xr:uid="{00000000-0005-0000-0000-000010000000}"/>
    <cellStyle name="60% - Ênfase6 2" xfId="26" xr:uid="{00000000-0005-0000-0000-000011000000}"/>
    <cellStyle name="Bom 2" xfId="27" xr:uid="{00000000-0005-0000-0000-000012000000}"/>
    <cellStyle name="Cálculo 2" xfId="28" xr:uid="{00000000-0005-0000-0000-000013000000}"/>
    <cellStyle name="Célula de Verificação 2" xfId="29" xr:uid="{00000000-0005-0000-0000-000014000000}"/>
    <cellStyle name="Célula Vinculada 2" xfId="30" xr:uid="{00000000-0005-0000-0000-000015000000}"/>
    <cellStyle name="Ênfase1 2" xfId="3" xr:uid="{00000000-0005-0000-0000-000016000000}"/>
    <cellStyle name="Ênfase2 2" xfId="4" xr:uid="{00000000-0005-0000-0000-000017000000}"/>
    <cellStyle name="Ênfase3 2" xfId="5" xr:uid="{00000000-0005-0000-0000-000018000000}"/>
    <cellStyle name="Ênfase4 2" xfId="6" xr:uid="{00000000-0005-0000-0000-000019000000}"/>
    <cellStyle name="Ênfase5 2" xfId="7" xr:uid="{00000000-0005-0000-0000-00001A000000}"/>
    <cellStyle name="Ênfase6 2" xfId="8" xr:uid="{00000000-0005-0000-0000-00001B000000}"/>
    <cellStyle name="Entrada 2" xfId="31" xr:uid="{00000000-0005-0000-0000-00001C000000}"/>
    <cellStyle name="Incorreto 2" xfId="32" xr:uid="{00000000-0005-0000-0000-00001D000000}"/>
    <cellStyle name="Moeda" xfId="1" builtinId="4" customBuiltin="1"/>
    <cellStyle name="Moeda 2" xfId="33" xr:uid="{00000000-0005-0000-0000-00001F000000}"/>
    <cellStyle name="Moeda 3" xfId="34" xr:uid="{00000000-0005-0000-0000-000020000000}"/>
    <cellStyle name="Moeda 4" xfId="35" xr:uid="{00000000-0005-0000-0000-000021000000}"/>
    <cellStyle name="Moeda 5" xfId="36" xr:uid="{00000000-0005-0000-0000-000022000000}"/>
    <cellStyle name="Neutra 2" xfId="37" xr:uid="{00000000-0005-0000-0000-000023000000}"/>
    <cellStyle name="Normal" xfId="0" builtinId="0" customBuiltin="1"/>
    <cellStyle name="Normal 2" xfId="38" xr:uid="{00000000-0005-0000-0000-000025000000}"/>
    <cellStyle name="Normal 2 2" xfId="39" xr:uid="{00000000-0005-0000-0000-000026000000}"/>
    <cellStyle name="Normal 3" xfId="40" xr:uid="{00000000-0005-0000-0000-000027000000}"/>
    <cellStyle name="Normal 4" xfId="41" xr:uid="{00000000-0005-0000-0000-000028000000}"/>
    <cellStyle name="Normal 5" xfId="42" xr:uid="{00000000-0005-0000-0000-000029000000}"/>
    <cellStyle name="Normal 6" xfId="43" xr:uid="{00000000-0005-0000-0000-00002A000000}"/>
    <cellStyle name="Normal 7" xfId="44" xr:uid="{00000000-0005-0000-0000-00002B000000}"/>
    <cellStyle name="Normal 8" xfId="45" xr:uid="{00000000-0005-0000-0000-00002C000000}"/>
    <cellStyle name="Nota 2" xfId="46" xr:uid="{00000000-0005-0000-0000-00002D000000}"/>
    <cellStyle name="Porcentagem" xfId="2" builtinId="5" customBuiltin="1"/>
    <cellStyle name="Porcentagem 2" xfId="47" xr:uid="{00000000-0005-0000-0000-00002F000000}"/>
    <cellStyle name="Porcentagem 3" xfId="48" xr:uid="{00000000-0005-0000-0000-000030000000}"/>
    <cellStyle name="Porcentagem 4" xfId="49" xr:uid="{00000000-0005-0000-0000-000031000000}"/>
    <cellStyle name="Porcentagem 5" xfId="50" xr:uid="{00000000-0005-0000-0000-000032000000}"/>
    <cellStyle name="Saída 2" xfId="51" xr:uid="{00000000-0005-0000-0000-000033000000}"/>
    <cellStyle name="Separador de milhares 2" xfId="52" xr:uid="{00000000-0005-0000-0000-000034000000}"/>
    <cellStyle name="Texto de Aviso 2" xfId="58" xr:uid="{00000000-0005-0000-0000-000035000000}"/>
    <cellStyle name="Texto Explicativo 2" xfId="59" xr:uid="{00000000-0005-0000-0000-000036000000}"/>
    <cellStyle name="Título 1 2" xfId="53" xr:uid="{00000000-0005-0000-0000-000037000000}"/>
    <cellStyle name="Título 2 2" xfId="54" xr:uid="{00000000-0005-0000-0000-000038000000}"/>
    <cellStyle name="Título 3 2" xfId="55" xr:uid="{00000000-0005-0000-0000-000039000000}"/>
    <cellStyle name="Título 4 2" xfId="56" xr:uid="{00000000-0005-0000-0000-00003A000000}"/>
    <cellStyle name="Título 5" xfId="57" xr:uid="{00000000-0005-0000-0000-00003B000000}"/>
    <cellStyle name="Total 2" xfId="60" xr:uid="{00000000-0005-0000-0000-00003C000000}"/>
    <cellStyle name="Vírgula 2" xfId="61" xr:uid="{00000000-0005-0000-0000-00003D000000}"/>
  </cellStyles>
  <dxfs count="0"/>
  <tableStyles count="0" defaultTableStyle="TableStyleMedium2" defaultPivotStyle="PivotStyleLight16"/>
  <colors>
    <mruColors>
      <color rgb="FFF5B22B"/>
      <color rgb="FFF828B3"/>
      <color rgb="FF22E4FE"/>
      <color rgb="FF99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432859</xdr:colOff>
      <xdr:row>1</xdr:row>
      <xdr:rowOff>148166</xdr:rowOff>
    </xdr:from>
    <xdr:to>
      <xdr:col>4</xdr:col>
      <xdr:colOff>504826</xdr:colOff>
      <xdr:row>4</xdr:row>
      <xdr:rowOff>169332</xdr:rowOff>
    </xdr:to>
    <xdr:sp macro="" textlink="">
      <xdr:nvSpPr>
        <xdr:cNvPr id="2" name="Retângulo 1">
          <a:extLst>
            <a:ext uri="{FF2B5EF4-FFF2-40B4-BE49-F238E27FC236}">
              <a16:creationId xmlns:a16="http://schemas.microsoft.com/office/drawing/2014/main" id="{1573456F-4422-4411-852F-264EE77121B6}"/>
            </a:ext>
          </a:extLst>
        </xdr:cNvPr>
        <xdr:cNvSpPr/>
      </xdr:nvSpPr>
      <xdr:spPr>
        <a:xfrm>
          <a:off x="432859" y="963083"/>
          <a:ext cx="5924550" cy="6455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A</a:t>
          </a:r>
          <a:r>
            <a:rPr lang="pt-BR" sz="1100" baseline="0"/>
            <a:t> LICITANTE DEVERÁ ACESSAR A ABA "DADOS BÁSICOS DA LICITAÇÃO"  E PREENCHER OS DADOS DAS CÉLULAS EM VERDE. </a:t>
          </a:r>
          <a:endParaRPr lang="pt-BR" sz="1100"/>
        </a:p>
      </xdr:txBody>
    </xdr:sp>
    <xdr:clientData/>
  </xdr:twoCellAnchor>
  <xdr:twoCellAnchor>
    <xdr:from>
      <xdr:col>0</xdr:col>
      <xdr:colOff>429683</xdr:colOff>
      <xdr:row>5</xdr:row>
      <xdr:rowOff>63501</xdr:rowOff>
    </xdr:from>
    <xdr:to>
      <xdr:col>4</xdr:col>
      <xdr:colOff>508000</xdr:colOff>
      <xdr:row>7</xdr:row>
      <xdr:rowOff>190501</xdr:rowOff>
    </xdr:to>
    <xdr:sp macro="" textlink="">
      <xdr:nvSpPr>
        <xdr:cNvPr id="3" name="Retângulo 2">
          <a:extLst>
            <a:ext uri="{FF2B5EF4-FFF2-40B4-BE49-F238E27FC236}">
              <a16:creationId xmlns:a16="http://schemas.microsoft.com/office/drawing/2014/main" id="{073C75F6-F0BA-48BA-94D4-2567AC146FE5}"/>
            </a:ext>
          </a:extLst>
        </xdr:cNvPr>
        <xdr:cNvSpPr/>
      </xdr:nvSpPr>
      <xdr:spPr>
        <a:xfrm>
          <a:off x="429683" y="1714501"/>
          <a:ext cx="5930900" cy="5397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TODOS OS CAMPOS CONTÉM ORIENTAÇÕES PARA O PREENCHIMENTO</a:t>
          </a:r>
          <a:r>
            <a:rPr lang="pt-BR" sz="1100" baseline="0"/>
            <a:t> BASTAR PASSAR O MOUSE SOBRE A CÉLULA E APARECERÁ AS INSTRUÇÕES.</a:t>
          </a:r>
          <a:endParaRPr lang="pt-BR" sz="1100"/>
        </a:p>
      </xdr:txBody>
    </xdr:sp>
    <xdr:clientData/>
  </xdr:twoCellAnchor>
  <xdr:twoCellAnchor>
    <xdr:from>
      <xdr:col>0</xdr:col>
      <xdr:colOff>409575</xdr:colOff>
      <xdr:row>8</xdr:row>
      <xdr:rowOff>46565</xdr:rowOff>
    </xdr:from>
    <xdr:to>
      <xdr:col>4</xdr:col>
      <xdr:colOff>508000</xdr:colOff>
      <xdr:row>12</xdr:row>
      <xdr:rowOff>0</xdr:rowOff>
    </xdr:to>
    <xdr:sp macro="" textlink="">
      <xdr:nvSpPr>
        <xdr:cNvPr id="4" name="Retângulo 3">
          <a:extLst>
            <a:ext uri="{FF2B5EF4-FFF2-40B4-BE49-F238E27FC236}">
              <a16:creationId xmlns:a16="http://schemas.microsoft.com/office/drawing/2014/main" id="{D92E6B8F-C8AD-4103-BB41-3E0666B78ADB}"/>
            </a:ext>
          </a:extLst>
        </xdr:cNvPr>
        <xdr:cNvSpPr/>
      </xdr:nvSpPr>
      <xdr:spPr>
        <a:xfrm>
          <a:off x="409575" y="2321982"/>
          <a:ext cx="5951008" cy="75776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APÓS INSIRIDOS OS DADOS ,</a:t>
          </a:r>
          <a:r>
            <a:rPr lang="pt-BR" sz="1100" baseline="0"/>
            <a:t> AS PLANILHAS DE FORMAÇÃO DE CUSTOS APRESENTARÃO OS VALORES DE CADA ITEM, SEUS IMPACTOS EM CADA GRUPO DA PROPOSTA E SUA FORMATAÇÃO FINAL.</a:t>
          </a:r>
          <a:endParaRPr lang="pt-BR" sz="1100"/>
        </a:p>
      </xdr:txBody>
    </xdr:sp>
    <xdr:clientData/>
  </xdr:twoCellAnchor>
  <xdr:twoCellAnchor>
    <xdr:from>
      <xdr:col>0</xdr:col>
      <xdr:colOff>377825</xdr:colOff>
      <xdr:row>13</xdr:row>
      <xdr:rowOff>7408</xdr:rowOff>
    </xdr:from>
    <xdr:to>
      <xdr:col>4</xdr:col>
      <xdr:colOff>486834</xdr:colOff>
      <xdr:row>17</xdr:row>
      <xdr:rowOff>123825</xdr:rowOff>
    </xdr:to>
    <xdr:sp macro="" textlink="">
      <xdr:nvSpPr>
        <xdr:cNvPr id="5" name="Retângulo 4">
          <a:extLst>
            <a:ext uri="{FF2B5EF4-FFF2-40B4-BE49-F238E27FC236}">
              <a16:creationId xmlns:a16="http://schemas.microsoft.com/office/drawing/2014/main" id="{ED05F27B-65FE-42D9-83B4-5A38A1BDCFE2}"/>
            </a:ext>
          </a:extLst>
        </xdr:cNvPr>
        <xdr:cNvSpPr/>
      </xdr:nvSpPr>
      <xdr:spPr>
        <a:xfrm>
          <a:off x="377825" y="3288241"/>
          <a:ext cx="5961592" cy="92075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A</a:t>
          </a:r>
          <a:r>
            <a:rPr lang="pt-BR" sz="1100" baseline="0"/>
            <a:t> PARTIR DOS DADOS INSERIDOS A LICITANTE PODERÁ CONFERIR A PERSPECTIVA DA EVOLUÇÃO CONTRATUAL PARA OS DEMAIS ANOS DE CONTRATO, EM CASO DE OCORRER PRORROGAÇÕES SUCESSIVAS ATÉ OS RESPECTIVOS PERÍODOS CONTRATUAIS. TRATA-SE DE ESTIMATIVA CONFORME A SITUAÇÃO ATUAL DA CONTRATAÇÃO.</a:t>
          </a:r>
          <a:endParaRPr lang="pt-BR" sz="1100"/>
        </a:p>
      </xdr:txBody>
    </xdr:sp>
    <xdr:clientData/>
  </xdr:twoCellAnchor>
  <xdr:twoCellAnchor>
    <xdr:from>
      <xdr:col>0</xdr:col>
      <xdr:colOff>350307</xdr:colOff>
      <xdr:row>18</xdr:row>
      <xdr:rowOff>152399</xdr:rowOff>
    </xdr:from>
    <xdr:to>
      <xdr:col>4</xdr:col>
      <xdr:colOff>476250</xdr:colOff>
      <xdr:row>26</xdr:row>
      <xdr:rowOff>0</xdr:rowOff>
    </xdr:to>
    <xdr:sp macro="" textlink="">
      <xdr:nvSpPr>
        <xdr:cNvPr id="6" name="Retângulo 5">
          <a:extLst>
            <a:ext uri="{FF2B5EF4-FFF2-40B4-BE49-F238E27FC236}">
              <a16:creationId xmlns:a16="http://schemas.microsoft.com/office/drawing/2014/main" id="{FFD2B315-6AE6-4F03-ABEC-C5BE89B724B8}"/>
            </a:ext>
          </a:extLst>
        </xdr:cNvPr>
        <xdr:cNvSpPr/>
      </xdr:nvSpPr>
      <xdr:spPr>
        <a:xfrm>
          <a:off x="350307" y="4438649"/>
          <a:ext cx="5978526" cy="14351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pt-BR" sz="1100"/>
            <a:t>NA</a:t>
          </a:r>
          <a:r>
            <a:rPr lang="pt-BR" sz="1100" baseline="0"/>
            <a:t> ESTIMATIVA DE EVOLUÇÃO CONTRATUAL NÃO ESTÁ PRESENTE NENHUM CÁLCULO DE AUMENTO DE VALORES SOBRE OS LICITADOS, POIS A PARTIR DO ADVENTO DO CONTRATO A LICITANTE PODERÁ PLEITEAR REEQUILÍBRIO COM BASE EM CONVENÇÃO COLETIVA, REAJUSTE CONFORME IÍNDICE PREVISTO NA CONTRATAÇÃO  -  PARA INSUMOS, EQUIPAMENTOS, UNIFORMES E ETC -  OU </a:t>
          </a:r>
          <a:r>
            <a:rPr lang="pt-BR" sz="1100"/>
            <a:t> EM CASOS SUPERVENIENTES</a:t>
          </a:r>
          <a:r>
            <a:rPr lang="pt-BR" sz="1100" baseline="0"/>
            <a:t> COMPROVADOS E PREVISTOS EM LEI. </a:t>
          </a:r>
          <a:r>
            <a:rPr lang="pt-BR" sz="1100">
              <a:solidFill>
                <a:schemeClr val="lt1"/>
              </a:solidFill>
              <a:effectLst/>
              <a:latin typeface="+mn-lt"/>
              <a:ea typeface="+mn-ea"/>
              <a:cs typeface="+mn-cs"/>
            </a:rPr>
            <a:t>DESTA FORMA, QUANDO DA OCORRÊNCIA DE TAIS ALTERAÇÕES SERÁ INCLUSO</a:t>
          </a:r>
          <a:r>
            <a:rPr lang="pt-BR" sz="1100" baseline="0">
              <a:solidFill>
                <a:schemeClr val="lt1"/>
              </a:solidFill>
              <a:effectLst/>
              <a:latin typeface="+mn-lt"/>
              <a:ea typeface="+mn-ea"/>
              <a:cs typeface="+mn-cs"/>
            </a:rPr>
            <a:t> OS NOVOS VALORES QUE ALTERARÃO A ATUAL PROPOSTA.</a:t>
          </a:r>
          <a:endParaRPr lang="pt-BR">
            <a:effectLst/>
          </a:endParaRPr>
        </a:p>
        <a:p>
          <a:pPr algn="l"/>
          <a:endParaRPr lang="pt-BR" sz="1100"/>
        </a:p>
      </xdr:txBody>
    </xdr:sp>
    <xdr:clientData/>
  </xdr:twoCellAnchor>
  <xdr:twoCellAnchor>
    <xdr:from>
      <xdr:col>0</xdr:col>
      <xdr:colOff>389467</xdr:colOff>
      <xdr:row>27</xdr:row>
      <xdr:rowOff>25400</xdr:rowOff>
    </xdr:from>
    <xdr:to>
      <xdr:col>4</xdr:col>
      <xdr:colOff>465667</xdr:colOff>
      <xdr:row>31</xdr:row>
      <xdr:rowOff>135466</xdr:rowOff>
    </xdr:to>
    <xdr:sp macro="" textlink="">
      <xdr:nvSpPr>
        <xdr:cNvPr id="7" name="Retângulo 6">
          <a:extLst>
            <a:ext uri="{FF2B5EF4-FFF2-40B4-BE49-F238E27FC236}">
              <a16:creationId xmlns:a16="http://schemas.microsoft.com/office/drawing/2014/main" id="{2D8FB441-FD88-4148-AC55-C07A208D214C}"/>
            </a:ext>
          </a:extLst>
        </xdr:cNvPr>
        <xdr:cNvSpPr/>
      </xdr:nvSpPr>
      <xdr:spPr>
        <a:xfrm>
          <a:off x="389467" y="6100233"/>
          <a:ext cx="5928783" cy="9144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PARA CADA PERÍODO</a:t>
          </a:r>
          <a:r>
            <a:rPr lang="pt-BR" sz="1100" baseline="0"/>
            <a:t> CONTRATUAL CONSTA UMA PLANILHA DE MEMÓRIA DE CÁLCULO, NA QUAL SÃO APRESENTADOS OS ÍNDICES UTILIZADOS, AS BASES DE CÁLCULO PARA OS MESMOS E  A METODOLOGIA PARA A MENSURAÇÃO DE CADA ITEM.</a:t>
          </a:r>
          <a:endParaRPr lang="pt-BR" sz="1100"/>
        </a:p>
      </xdr:txBody>
    </xdr:sp>
    <xdr:clientData/>
  </xdr:twoCellAnchor>
  <xdr:twoCellAnchor>
    <xdr:from>
      <xdr:col>10</xdr:col>
      <xdr:colOff>642408</xdr:colOff>
      <xdr:row>17</xdr:row>
      <xdr:rowOff>120650</xdr:rowOff>
    </xdr:from>
    <xdr:to>
      <xdr:col>20</xdr:col>
      <xdr:colOff>444499</xdr:colOff>
      <xdr:row>21</xdr:row>
      <xdr:rowOff>193675</xdr:rowOff>
    </xdr:to>
    <xdr:sp macro="" textlink="">
      <xdr:nvSpPr>
        <xdr:cNvPr id="9" name="Retângulo 8">
          <a:extLst>
            <a:ext uri="{FF2B5EF4-FFF2-40B4-BE49-F238E27FC236}">
              <a16:creationId xmlns:a16="http://schemas.microsoft.com/office/drawing/2014/main" id="{A1C26D41-C33A-44C7-AC78-0AA06CBF42B9}"/>
            </a:ext>
          </a:extLst>
        </xdr:cNvPr>
        <xdr:cNvSpPr/>
      </xdr:nvSpPr>
      <xdr:spPr>
        <a:xfrm>
          <a:off x="12146491" y="4205817"/>
          <a:ext cx="6480175" cy="87735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A</a:t>
          </a:r>
          <a:r>
            <a:rPr lang="pt-BR" sz="1100" baseline="0"/>
            <a:t> MANUTENÇÃO DE FUNCIONÁRIOS CAPACITADOS E TREINADOS É OBRIGAÇÃO DA LICITANTE QUANDO CONTRATADA, PORTANTO DEVE AVALIAR SE AS CONDIÇÕES OFERECIDAS NA PROPOSTA SÃO SUFICIENTES PARA QUE A CONTRATADA MANTENHA MÃO DE OBRA COM A QUALIDADE ESPECÍFICADA, PARA O PERFEITO ATENDIMENTO AOS SERVIÇOS PÚBLICOS EXECUTADDOS PELO ÓRGÃO.</a:t>
          </a:r>
          <a:endParaRPr lang="pt-BR" sz="1100"/>
        </a:p>
      </xdr:txBody>
    </xdr:sp>
    <xdr:clientData/>
  </xdr:twoCellAnchor>
  <xdr:twoCellAnchor>
    <xdr:from>
      <xdr:col>4</xdr:col>
      <xdr:colOff>772582</xdr:colOff>
      <xdr:row>1</xdr:row>
      <xdr:rowOff>109009</xdr:rowOff>
    </xdr:from>
    <xdr:to>
      <xdr:col>10</xdr:col>
      <xdr:colOff>355600</xdr:colOff>
      <xdr:row>5</xdr:row>
      <xdr:rowOff>176743</xdr:rowOff>
    </xdr:to>
    <xdr:sp macro="" textlink="">
      <xdr:nvSpPr>
        <xdr:cNvPr id="10" name="Retângulo 9">
          <a:extLst>
            <a:ext uri="{FF2B5EF4-FFF2-40B4-BE49-F238E27FC236}">
              <a16:creationId xmlns:a16="http://schemas.microsoft.com/office/drawing/2014/main" id="{06EBD74D-69BD-408C-8894-AD32E2935AC7}"/>
            </a:ext>
          </a:extLst>
        </xdr:cNvPr>
        <xdr:cNvSpPr/>
      </xdr:nvSpPr>
      <xdr:spPr>
        <a:xfrm>
          <a:off x="6625165" y="923926"/>
          <a:ext cx="5234518" cy="90381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ITENS</a:t>
          </a:r>
          <a:r>
            <a:rPr lang="pt-BR" sz="1100" baseline="0"/>
            <a:t> CONSTANTES DAS PLANILHAS DE FORMAÇÃO DE CUSTOS, COMO VALE TRANSPORTE, HORAS EXTRAS, PERICULOSIDADE, QUANDO NÃO UTILIZADOS OU NÃO COMPROVADOS SERÃO DESCONTADOS. O DESCONTO CONSIDERA O VALOR DO ITEM SOMADO A TODAS AS ALÍQUOTAS QUE QUE RECAEM SOBRE ELE.</a:t>
          </a:r>
          <a:endParaRPr lang="pt-BR" sz="1100"/>
        </a:p>
      </xdr:txBody>
    </xdr:sp>
    <xdr:clientData/>
  </xdr:twoCellAnchor>
  <xdr:twoCellAnchor>
    <xdr:from>
      <xdr:col>4</xdr:col>
      <xdr:colOff>740832</xdr:colOff>
      <xdr:row>6</xdr:row>
      <xdr:rowOff>49741</xdr:rowOff>
    </xdr:from>
    <xdr:to>
      <xdr:col>10</xdr:col>
      <xdr:colOff>359833</xdr:colOff>
      <xdr:row>14</xdr:row>
      <xdr:rowOff>95249</xdr:rowOff>
    </xdr:to>
    <xdr:sp macro="" textlink="">
      <xdr:nvSpPr>
        <xdr:cNvPr id="11" name="Retângulo 10">
          <a:extLst>
            <a:ext uri="{FF2B5EF4-FFF2-40B4-BE49-F238E27FC236}">
              <a16:creationId xmlns:a16="http://schemas.microsoft.com/office/drawing/2014/main" id="{4AEA7654-BC77-402F-9BC5-80AD49604EC7}"/>
            </a:ext>
          </a:extLst>
        </xdr:cNvPr>
        <xdr:cNvSpPr/>
      </xdr:nvSpPr>
      <xdr:spPr>
        <a:xfrm>
          <a:off x="6593415" y="1912408"/>
          <a:ext cx="5270501" cy="166475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OS ITEM "VALE</a:t>
          </a:r>
          <a:r>
            <a:rPr lang="pt-BR" sz="1100" baseline="0"/>
            <a:t> TRANSPORTE" SERÁ ANALISADO MENSALMENTE PELO TOTAL DO CONTRATO, ASSIM, SE A EMPRESA ESTIMAR R$ 1.000,00 PARA VALE TRANSPORTE, NA SOMA DOS POSTOS, E UTILIZAR R$ 600,00, SERÁ DESCONTADO</a:t>
          </a:r>
          <a:r>
            <a:rPr lang="pt-BR" sz="1100" baseline="0">
              <a:solidFill>
                <a:schemeClr val="lt1"/>
              </a:solidFill>
              <a:effectLst/>
              <a:latin typeface="+mn-lt"/>
              <a:ea typeface="+mn-ea"/>
              <a:cs typeface="+mn-cs"/>
            </a:rPr>
            <a:t>OS R$ 400,00 FALTANTES, DE FORMA </a:t>
          </a:r>
          <a:r>
            <a:rPr lang="pt-BR" sz="1100" baseline="0"/>
            <a:t>PROPORCIONAL (OBDECENDO POR ORDEM OS POSTOS QUE EFETIVAMENTE NÃO UTILIZARAM PRIMEIRAMENTE, DEPOIS SOBRE OS DEMAIS QUANDO OCORRER POSTOS QUE EFETIVAMENTE UTILIZEM MAIS QUE O ESTIMADO). ***ASSIM, A ADMNISTRAÇÃO NÃO PAGA POR AQUILO QUE NÃO FOR EFETIVAMENTE UTILIZADO, MAS A LICITANTE TAMBÉM NÃO É PREJUDICADA QUANDO HÁ FUNCIONÁRIOS QUE LEGALMENTE RECEBEM MAIS VALE TRANSPORTE). </a:t>
          </a:r>
          <a:endParaRPr lang="pt-BR" sz="1100"/>
        </a:p>
      </xdr:txBody>
    </xdr:sp>
    <xdr:clientData/>
  </xdr:twoCellAnchor>
  <xdr:twoCellAnchor>
    <xdr:from>
      <xdr:col>4</xdr:col>
      <xdr:colOff>721782</xdr:colOff>
      <xdr:row>15</xdr:row>
      <xdr:rowOff>21167</xdr:rowOff>
    </xdr:from>
    <xdr:to>
      <xdr:col>10</xdr:col>
      <xdr:colOff>356658</xdr:colOff>
      <xdr:row>17</xdr:row>
      <xdr:rowOff>140759</xdr:rowOff>
    </xdr:to>
    <xdr:sp macro="" textlink="">
      <xdr:nvSpPr>
        <xdr:cNvPr id="12" name="Retângulo 11">
          <a:extLst>
            <a:ext uri="{FF2B5EF4-FFF2-40B4-BE49-F238E27FC236}">
              <a16:creationId xmlns:a16="http://schemas.microsoft.com/office/drawing/2014/main" id="{3D88AB71-7DC6-4D39-9F40-043DC4F20951}"/>
            </a:ext>
          </a:extLst>
        </xdr:cNvPr>
        <xdr:cNvSpPr/>
      </xdr:nvSpPr>
      <xdr:spPr>
        <a:xfrm>
          <a:off x="6574365" y="3704167"/>
          <a:ext cx="5286376" cy="52175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AS HORAS EXTRAS E PERICULOSIDADES NÃO UTILIZADAS</a:t>
          </a:r>
          <a:r>
            <a:rPr lang="pt-BR" sz="1100" baseline="0"/>
            <a:t> TAMBÉM SOFRERÃO  DESCONTOS DA MESMA FORMA.</a:t>
          </a:r>
          <a:endParaRPr lang="pt-BR" sz="1100"/>
        </a:p>
      </xdr:txBody>
    </xdr:sp>
    <xdr:clientData/>
  </xdr:twoCellAnchor>
  <xdr:twoCellAnchor>
    <xdr:from>
      <xdr:col>10</xdr:col>
      <xdr:colOff>574674</xdr:colOff>
      <xdr:row>13</xdr:row>
      <xdr:rowOff>78319</xdr:rowOff>
    </xdr:from>
    <xdr:to>
      <xdr:col>20</xdr:col>
      <xdr:colOff>476250</xdr:colOff>
      <xdr:row>16</xdr:row>
      <xdr:rowOff>63501</xdr:rowOff>
    </xdr:to>
    <xdr:sp macro="" textlink="">
      <xdr:nvSpPr>
        <xdr:cNvPr id="13" name="Retângulo 12">
          <a:extLst>
            <a:ext uri="{FF2B5EF4-FFF2-40B4-BE49-F238E27FC236}">
              <a16:creationId xmlns:a16="http://schemas.microsoft.com/office/drawing/2014/main" id="{3D282C0F-B45C-43A7-9DB2-FBAE6821A59A}"/>
            </a:ext>
          </a:extLst>
        </xdr:cNvPr>
        <xdr:cNvSpPr/>
      </xdr:nvSpPr>
      <xdr:spPr>
        <a:xfrm>
          <a:off x="12078757" y="3359152"/>
          <a:ext cx="6579660" cy="5884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OS</a:t>
          </a:r>
          <a:r>
            <a:rPr lang="pt-BR" sz="1100" baseline="0"/>
            <a:t> ITENS CONSTANTES DA PLANILHA DE FORMAÇÃO DE CUSTOS FORMULADA PELA A  ADMINISTRAÇÃO FORAM ANALISADOS E VALORADOS CONFORME QUESITOS LEGAIS, OPERACIONAIS, E HISTÓRICOS.</a:t>
          </a:r>
          <a:endParaRPr lang="pt-BR" sz="1100"/>
        </a:p>
      </xdr:txBody>
    </xdr:sp>
    <xdr:clientData/>
  </xdr:twoCellAnchor>
  <xdr:twoCellAnchor>
    <xdr:from>
      <xdr:col>4</xdr:col>
      <xdr:colOff>695323</xdr:colOff>
      <xdr:row>18</xdr:row>
      <xdr:rowOff>63502</xdr:rowOff>
    </xdr:from>
    <xdr:to>
      <xdr:col>10</xdr:col>
      <xdr:colOff>444501</xdr:colOff>
      <xdr:row>22</xdr:row>
      <xdr:rowOff>52916</xdr:rowOff>
    </xdr:to>
    <xdr:sp macro="" textlink="">
      <xdr:nvSpPr>
        <xdr:cNvPr id="14" name="Retângulo 13">
          <a:extLst>
            <a:ext uri="{FF2B5EF4-FFF2-40B4-BE49-F238E27FC236}">
              <a16:creationId xmlns:a16="http://schemas.microsoft.com/office/drawing/2014/main" id="{B2318B8B-4830-4EB7-BB58-F2A96BE03345}"/>
            </a:ext>
          </a:extLst>
        </xdr:cNvPr>
        <xdr:cNvSpPr/>
      </xdr:nvSpPr>
      <xdr:spPr>
        <a:xfrm>
          <a:off x="6547906" y="4349752"/>
          <a:ext cx="5400678" cy="79374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OS</a:t>
          </a:r>
          <a:r>
            <a:rPr lang="pt-BR" sz="1100" baseline="0"/>
            <a:t> VALORES ALOCADOS PARA FOLGUISTAS E FERISTAS NOS SEUS RESPECTIVOS PERÍODOS SERÃO DESCONTADOS SE NÃO DISPOBILIZADOS, HAJA VISTA HAVER PAGAMENTO PREVISTO PARA A QUANTIA MENSURADA.</a:t>
          </a:r>
          <a:endParaRPr lang="pt-BR" sz="1100"/>
        </a:p>
      </xdr:txBody>
    </xdr:sp>
    <xdr:clientData/>
  </xdr:twoCellAnchor>
  <xdr:twoCellAnchor>
    <xdr:from>
      <xdr:col>4</xdr:col>
      <xdr:colOff>698500</xdr:colOff>
      <xdr:row>23</xdr:row>
      <xdr:rowOff>42333</xdr:rowOff>
    </xdr:from>
    <xdr:to>
      <xdr:col>10</xdr:col>
      <xdr:colOff>469899</xdr:colOff>
      <xdr:row>31</xdr:row>
      <xdr:rowOff>60324</xdr:rowOff>
    </xdr:to>
    <xdr:sp macro="" textlink="">
      <xdr:nvSpPr>
        <xdr:cNvPr id="15" name="Retângulo 14">
          <a:extLst>
            <a:ext uri="{FF2B5EF4-FFF2-40B4-BE49-F238E27FC236}">
              <a16:creationId xmlns:a16="http://schemas.microsoft.com/office/drawing/2014/main" id="{05EE6D35-C935-4409-84C3-F6295B21DF7E}"/>
            </a:ext>
          </a:extLst>
        </xdr:cNvPr>
        <xdr:cNvSpPr/>
      </xdr:nvSpPr>
      <xdr:spPr>
        <a:xfrm>
          <a:off x="6551083" y="5334000"/>
          <a:ext cx="5422899" cy="160549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A</a:t>
          </a:r>
          <a:r>
            <a:rPr lang="pt-BR" sz="1100" baseline="0"/>
            <a:t> PLANILHA DE FORMAÇÃO DE CUSTOS PREENCHIDA PELA LICITANTE, INTEGRANTE DA PROPOSTA, APÓS ACEITA PELA ADMINISTRAÇÃO COMO FINAL E VENCEDORA DO CERTAME, INTEGRARÁ O CONTRATO, NÃO SENDO POSSÍVEL SUA REVISÃO DE QUANTIDADES, QUALIDADES E VALORES, SALVO OS CASOS PREVISTOS EM LEI E SOB O PROCEDIMENTO ESPECÍFICO PARA TAL, NORMALMENTE O CONTRATO É ALTERADO PELA VIGÊNCIA, EM CASO DE PRORROGAÇÃO, QUANTO AOS VALORES REFERENTES A MÃO DE OBRA QUANDO DE NOVA CONVENÇÃO COLETIVA, NO VALOR DE INSUMOS CONFORME PRAZO E ALÍQUOTAS LEGAIS E CONTRATUAIS PREVIAMENTE DETERMINADAS.</a:t>
          </a:r>
          <a:endParaRPr lang="pt-BR" sz="1100"/>
        </a:p>
      </xdr:txBody>
    </xdr:sp>
    <xdr:clientData/>
  </xdr:twoCellAnchor>
  <xdr:twoCellAnchor>
    <xdr:from>
      <xdr:col>10</xdr:col>
      <xdr:colOff>493182</xdr:colOff>
      <xdr:row>1</xdr:row>
      <xdr:rowOff>180975</xdr:rowOff>
    </xdr:from>
    <xdr:to>
      <xdr:col>20</xdr:col>
      <xdr:colOff>525991</xdr:colOff>
      <xdr:row>4</xdr:row>
      <xdr:rowOff>169335</xdr:rowOff>
    </xdr:to>
    <xdr:sp macro="" textlink="">
      <xdr:nvSpPr>
        <xdr:cNvPr id="16" name="Retângulo 15">
          <a:extLst>
            <a:ext uri="{FF2B5EF4-FFF2-40B4-BE49-F238E27FC236}">
              <a16:creationId xmlns:a16="http://schemas.microsoft.com/office/drawing/2014/main" id="{C9A3440F-66B6-4600-A78D-FF2D663EB430}"/>
            </a:ext>
          </a:extLst>
        </xdr:cNvPr>
        <xdr:cNvSpPr/>
      </xdr:nvSpPr>
      <xdr:spPr>
        <a:xfrm>
          <a:off x="11997265" y="995892"/>
          <a:ext cx="6710893" cy="61277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HÁ ALTERAÇÕES PREVISTAS PARA OCORRÊNCIA EM DETERMINADOS PERÍODOS CONTRATUAIS</a:t>
          </a:r>
          <a:r>
            <a:rPr lang="pt-BR" sz="1100" baseline="0"/>
            <a:t>, JÁ CONSTANTES DAS PLANILHAS DE MEMÓRIA DE CÁLCULOS PARA CADA PERÍODO.</a:t>
          </a:r>
          <a:endParaRPr lang="pt-BR" sz="1100"/>
        </a:p>
      </xdr:txBody>
    </xdr:sp>
    <xdr:clientData/>
  </xdr:twoCellAnchor>
  <xdr:twoCellAnchor>
    <xdr:from>
      <xdr:col>10</xdr:col>
      <xdr:colOff>497416</xdr:colOff>
      <xdr:row>5</xdr:row>
      <xdr:rowOff>31750</xdr:rowOff>
    </xdr:from>
    <xdr:to>
      <xdr:col>20</xdr:col>
      <xdr:colOff>476249</xdr:colOff>
      <xdr:row>9</xdr:row>
      <xdr:rowOff>193675</xdr:rowOff>
    </xdr:to>
    <xdr:sp macro="" textlink="">
      <xdr:nvSpPr>
        <xdr:cNvPr id="17" name="Retângulo 16">
          <a:extLst>
            <a:ext uri="{FF2B5EF4-FFF2-40B4-BE49-F238E27FC236}">
              <a16:creationId xmlns:a16="http://schemas.microsoft.com/office/drawing/2014/main" id="{93F1BB1F-42F9-4151-86FC-5CEDC69F0CC2}"/>
            </a:ext>
          </a:extLst>
        </xdr:cNvPr>
        <xdr:cNvSpPr/>
      </xdr:nvSpPr>
      <xdr:spPr>
        <a:xfrm>
          <a:off x="12001499" y="1682750"/>
          <a:ext cx="6656917" cy="9874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O SINDICATO UTILIZADO NA ELABORAÇÃO DA PLANILHA DE FORMAÇÃO DE CUSTOS PELA ADMINISTRAÇÃO FOI O "SIEMACO/PR",</a:t>
          </a:r>
          <a:r>
            <a:rPr lang="pt-BR" sz="1100" baseline="0"/>
            <a:t> POIS HISTORICAMENTE AS EMPRESAS QUE PRESTARAM OS SERVIÇOS OBJETO DESTA LICITAÇÃO AO LONGO DE 20 ANOS O UTILIZARAM, SENDO SEUS SALÁRIOS E BENEFÍCIOS CAPAZ DE MANTER MÃO DE OBRA QUALIFICADA JUNTO AOS CONTRATOS.</a:t>
          </a:r>
          <a:endParaRPr lang="pt-BR" sz="1100"/>
        </a:p>
      </xdr:txBody>
    </xdr:sp>
    <xdr:clientData/>
  </xdr:twoCellAnchor>
  <xdr:twoCellAnchor>
    <xdr:from>
      <xdr:col>10</xdr:col>
      <xdr:colOff>564091</xdr:colOff>
      <xdr:row>10</xdr:row>
      <xdr:rowOff>49742</xdr:rowOff>
    </xdr:from>
    <xdr:to>
      <xdr:col>20</xdr:col>
      <xdr:colOff>444500</xdr:colOff>
      <xdr:row>12</xdr:row>
      <xdr:rowOff>183092</xdr:rowOff>
    </xdr:to>
    <xdr:sp macro="" textlink="">
      <xdr:nvSpPr>
        <xdr:cNvPr id="18" name="Retângulo 17">
          <a:extLst>
            <a:ext uri="{FF2B5EF4-FFF2-40B4-BE49-F238E27FC236}">
              <a16:creationId xmlns:a16="http://schemas.microsoft.com/office/drawing/2014/main" id="{9DE3E4F8-4D1D-4F35-B48E-D6A11E576EBC}"/>
            </a:ext>
          </a:extLst>
        </xdr:cNvPr>
        <xdr:cNvSpPr/>
      </xdr:nvSpPr>
      <xdr:spPr>
        <a:xfrm>
          <a:off x="12068174" y="2727325"/>
          <a:ext cx="6558493" cy="53551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a:t>PODERÁ SER UTILIZADO OUTROS SINDICATOS NA FORMAÇÃO</a:t>
          </a:r>
          <a:r>
            <a:rPr lang="pt-BR" sz="1100" baseline="0"/>
            <a:t> DOS CUSTOS DESDE QUE LEGALMENTE TENHA REPRESENTIVIDADE DA CATEGORIA E ABRANGÊNCIA.</a:t>
          </a:r>
          <a:endParaRPr lang="pt-BR" sz="1100"/>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48984-0D09-4AA8-8B68-F4245E257E77}">
  <dimension ref="A1:U72"/>
  <sheetViews>
    <sheetView zoomScale="90" zoomScaleNormal="90" workbookViewId="0">
      <selection activeCell="K162" sqref="A1:XFD1048576"/>
    </sheetView>
  </sheetViews>
  <sheetFormatPr defaultColWidth="8.26953125" defaultRowHeight="16"/>
  <cols>
    <col min="1" max="1" width="25.81640625" style="34" bestFit="1" customWidth="1"/>
    <col min="2" max="2" width="21.7265625" style="26" customWidth="1"/>
    <col min="3" max="3" width="21.7265625" style="26" bestFit="1" customWidth="1"/>
    <col min="4" max="4" width="14.7265625" style="26" customWidth="1"/>
    <col min="5" max="5" width="13.1796875" style="26" bestFit="1" customWidth="1"/>
    <col min="6" max="6" width="14.26953125" style="26" customWidth="1"/>
    <col min="7" max="7" width="16.1796875" style="26" customWidth="1"/>
    <col min="8" max="8" width="13.54296875" style="26" bestFit="1" customWidth="1"/>
    <col min="9" max="9" width="12.453125" style="26" customWidth="1"/>
    <col min="10" max="10" width="11.1796875" style="26" bestFit="1" customWidth="1"/>
    <col min="11" max="11" width="10.7265625" style="26" customWidth="1"/>
    <col min="12" max="14" width="11.1796875" style="26" bestFit="1" customWidth="1"/>
    <col min="15" max="15" width="8.26953125" style="26" customWidth="1"/>
    <col min="16" max="16" width="8.81640625" style="26" bestFit="1" customWidth="1"/>
    <col min="17" max="18" width="8.26953125" style="26"/>
    <col min="19" max="19" width="8.81640625" style="26" bestFit="1" customWidth="1"/>
    <col min="20" max="20" width="8.26953125" style="26"/>
    <col min="21" max="21" width="8.81640625" style="26" bestFit="1" customWidth="1"/>
    <col min="22" max="22" width="8.26953125" style="26"/>
    <col min="23" max="23" width="11" style="26" bestFit="1" customWidth="1"/>
    <col min="24" max="16384" width="8.26953125" style="26"/>
  </cols>
  <sheetData>
    <row r="1" spans="1:21" ht="63.5" customHeight="1">
      <c r="A1" s="282" t="s">
        <v>277</v>
      </c>
      <c r="B1" s="282"/>
      <c r="C1" s="282"/>
      <c r="D1" s="282"/>
      <c r="E1" s="282"/>
      <c r="F1" s="282"/>
      <c r="G1" s="282"/>
      <c r="H1" s="282"/>
      <c r="I1" s="282"/>
      <c r="J1" s="282"/>
      <c r="K1" s="282"/>
      <c r="L1" s="282"/>
      <c r="M1" s="282"/>
      <c r="N1" s="282"/>
      <c r="O1" s="282"/>
      <c r="P1" s="282"/>
      <c r="Q1" s="282"/>
      <c r="R1" s="282"/>
      <c r="S1" s="282"/>
      <c r="T1" s="282"/>
      <c r="U1" s="282"/>
    </row>
    <row r="2" spans="1:21">
      <c r="A2" s="26"/>
    </row>
    <row r="3" spans="1:21" ht="16.5">
      <c r="A3" s="26"/>
      <c r="F3" s="27"/>
      <c r="G3" s="27"/>
      <c r="H3" s="27"/>
      <c r="I3" s="27"/>
      <c r="J3" s="27"/>
      <c r="K3" s="27"/>
    </row>
    <row r="4" spans="1:21" ht="16.5">
      <c r="A4" s="26"/>
      <c r="E4" s="27"/>
      <c r="F4" s="27"/>
      <c r="G4" s="27"/>
      <c r="H4" s="27"/>
      <c r="I4" s="27"/>
      <c r="J4" s="27"/>
      <c r="K4" s="27"/>
    </row>
    <row r="5" spans="1:21" s="28" customFormat="1" ht="16.5">
      <c r="C5" s="29"/>
      <c r="D5" s="29"/>
      <c r="E5" s="29"/>
      <c r="F5" s="29"/>
      <c r="G5" s="29"/>
      <c r="H5" s="29"/>
      <c r="I5" s="29"/>
      <c r="J5" s="29"/>
      <c r="K5" s="29"/>
    </row>
    <row r="6" spans="1:21" ht="16.5">
      <c r="A6" s="26"/>
      <c r="D6" s="27"/>
      <c r="E6" s="27"/>
      <c r="F6" s="27"/>
      <c r="G6" s="27"/>
      <c r="H6" s="27"/>
      <c r="I6" s="27"/>
      <c r="J6" s="27"/>
      <c r="K6" s="27"/>
    </row>
    <row r="7" spans="1:21" s="30" customFormat="1"/>
    <row r="8" spans="1:21" s="31" customFormat="1" ht="16.5"/>
    <row r="9" spans="1:21">
      <c r="A9" s="26"/>
    </row>
    <row r="10" spans="1:21">
      <c r="A10" s="26"/>
    </row>
    <row r="11" spans="1:21">
      <c r="A11" s="26"/>
    </row>
    <row r="12" spans="1:21">
      <c r="A12" s="26"/>
    </row>
    <row r="13" spans="1:21">
      <c r="A13" s="26"/>
    </row>
    <row r="14" spans="1:21">
      <c r="A14" s="26"/>
    </row>
    <row r="15" spans="1:21">
      <c r="A15" s="32"/>
    </row>
    <row r="16" spans="1:21">
      <c r="A16" s="32"/>
    </row>
    <row r="17" spans="1:1">
      <c r="A17" s="32"/>
    </row>
    <row r="18" spans="1:1">
      <c r="A18" s="32"/>
    </row>
    <row r="19" spans="1:1">
      <c r="A19" s="32"/>
    </row>
    <row r="20" spans="1:1">
      <c r="A20" s="26"/>
    </row>
    <row r="21" spans="1:1">
      <c r="A21" s="26"/>
    </row>
    <row r="22" spans="1:1">
      <c r="A22" s="26"/>
    </row>
    <row r="23" spans="1:1">
      <c r="A23" s="32"/>
    </row>
    <row r="24" spans="1:1">
      <c r="A24" s="26"/>
    </row>
    <row r="25" spans="1:1" ht="14.25" customHeight="1">
      <c r="A25" s="26"/>
    </row>
    <row r="26" spans="1:1">
      <c r="A26" s="26"/>
    </row>
    <row r="27" spans="1:1">
      <c r="A27" s="26"/>
    </row>
    <row r="28" spans="1:1">
      <c r="A28" s="26"/>
    </row>
    <row r="29" spans="1:1">
      <c r="A29" s="26"/>
    </row>
    <row r="30" spans="1:1">
      <c r="A30" s="26"/>
    </row>
    <row r="31" spans="1:1">
      <c r="A31" s="26"/>
    </row>
    <row r="32" spans="1:1">
      <c r="A32" s="26"/>
    </row>
    <row r="33" spans="1:1">
      <c r="A33" s="26"/>
    </row>
    <row r="34" spans="1:1">
      <c r="A34" s="26"/>
    </row>
    <row r="35" spans="1:1">
      <c r="A35" s="26"/>
    </row>
    <row r="36" spans="1:1">
      <c r="A36" s="26"/>
    </row>
    <row r="37" spans="1:1">
      <c r="A37" s="26"/>
    </row>
    <row r="38" spans="1:1">
      <c r="A38" s="26"/>
    </row>
    <row r="39" spans="1:1">
      <c r="A39" s="26"/>
    </row>
    <row r="40" spans="1:1">
      <c r="A40" s="26"/>
    </row>
    <row r="41" spans="1:1">
      <c r="A41" s="26"/>
    </row>
    <row r="42" spans="1:1">
      <c r="A42" s="26"/>
    </row>
    <row r="43" spans="1:1">
      <c r="A43" s="26"/>
    </row>
    <row r="44" spans="1:1">
      <c r="A44" s="26"/>
    </row>
    <row r="45" spans="1:1">
      <c r="A45" s="26"/>
    </row>
    <row r="46" spans="1:1">
      <c r="A46" s="26"/>
    </row>
    <row r="47" spans="1:1">
      <c r="A47" s="26"/>
    </row>
    <row r="48" spans="1:1">
      <c r="A48" s="26"/>
    </row>
    <row r="49" spans="1:1">
      <c r="A49" s="26"/>
    </row>
    <row r="50" spans="1:1">
      <c r="A50" s="26"/>
    </row>
    <row r="51" spans="1:1">
      <c r="A51" s="26"/>
    </row>
    <row r="52" spans="1:1">
      <c r="A52" s="26"/>
    </row>
    <row r="53" spans="1:1" s="33" customFormat="1"/>
    <row r="54" spans="1:1">
      <c r="A54" s="26"/>
    </row>
    <row r="55" spans="1:1">
      <c r="A55" s="26"/>
    </row>
    <row r="56" spans="1:1">
      <c r="A56" s="26"/>
    </row>
    <row r="57" spans="1:1">
      <c r="A57" s="26"/>
    </row>
    <row r="58" spans="1:1">
      <c r="A58" s="26"/>
    </row>
    <row r="59" spans="1:1">
      <c r="A59" s="26"/>
    </row>
    <row r="60" spans="1:1">
      <c r="A60" s="26"/>
    </row>
    <row r="61" spans="1:1">
      <c r="A61" s="26"/>
    </row>
    <row r="62" spans="1:1">
      <c r="A62" s="26"/>
    </row>
    <row r="63" spans="1:1">
      <c r="A63" s="26"/>
    </row>
    <row r="64" spans="1:1">
      <c r="A64" s="26"/>
    </row>
    <row r="65" spans="1:1">
      <c r="A65" s="26"/>
    </row>
    <row r="66" spans="1:1">
      <c r="A66" s="26"/>
    </row>
    <row r="67" spans="1:1">
      <c r="A67" s="26"/>
    </row>
    <row r="68" spans="1:1">
      <c r="A68" s="26"/>
    </row>
    <row r="69" spans="1:1">
      <c r="A69" s="26"/>
    </row>
    <row r="70" spans="1:1">
      <c r="A70" s="26"/>
    </row>
    <row r="71" spans="1:1">
      <c r="A71" s="26"/>
    </row>
    <row r="72" spans="1:1">
      <c r="A72" s="26"/>
    </row>
  </sheetData>
  <sheetProtection algorithmName="SHA-512" hashValue="R/NBWiZ4Es3zy6RNYJEvtFwZdZ6PQ7Tmniw4RmlBGOnJXO2LMcpNSiC16SRc167qf+CZxjE0bKDPH/QJKM1MAA==" saltValue="QwSltDOnt9Kgk8K5lOcjKQ==" spinCount="100000" sheet="1" selectLockedCells="1"/>
  <mergeCells count="1">
    <mergeCell ref="A1:U1"/>
  </mergeCells>
  <pageMargins left="0.511811024" right="0.511811024" top="0.78740157500000008" bottom="0.78740157500000008" header="0.31496062000000008" footer="0.31496062000000008"/>
  <pageSetup paperSize="9" scale="32" fitToWidth="0" fitToHeight="0" orientation="portrait" r:id="rId1"/>
  <colBreaks count="1" manualBreakCount="1">
    <brk id="14" man="1"/>
  </col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E821A-65DD-4637-B0BD-46D039AD58C0}">
  <dimension ref="A1:I273"/>
  <sheetViews>
    <sheetView topLeftCell="A132" workbookViewId="0">
      <selection activeCell="M164" sqref="M164"/>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21.7265625" style="35" customWidth="1"/>
    <col min="8" max="8" width="15.81640625" style="35" bestFit="1" customWidth="1"/>
    <col min="9" max="9" width="15.81640625" style="189" customWidth="1"/>
    <col min="10" max="16384" width="11.7265625" style="35"/>
  </cols>
  <sheetData>
    <row r="1" spans="1:9" ht="66.75" customHeight="1">
      <c r="A1" s="385" t="s">
        <v>53</v>
      </c>
      <c r="B1" s="394"/>
      <c r="C1" s="394"/>
      <c r="D1" s="394"/>
      <c r="E1" s="394"/>
      <c r="F1" s="394"/>
      <c r="G1" s="394"/>
      <c r="H1" s="394"/>
      <c r="I1" s="395"/>
    </row>
    <row r="2" spans="1:9" ht="12.75" customHeight="1">
      <c r="A2" s="372" t="s">
        <v>287</v>
      </c>
      <c r="B2" s="388"/>
      <c r="C2" s="391" t="str">
        <f>'DADOS BÁSICOS LICITAÇÃO'!D4</f>
        <v>08385.000738/2021-44</v>
      </c>
      <c r="D2" s="388"/>
      <c r="E2" s="372"/>
      <c r="F2" s="373"/>
      <c r="G2" s="373"/>
      <c r="H2" s="373"/>
      <c r="I2" s="373"/>
    </row>
    <row r="3" spans="1:9" ht="12.75" customHeight="1">
      <c r="A3" s="372" t="s">
        <v>285</v>
      </c>
      <c r="B3" s="388"/>
      <c r="C3" s="372" t="str">
        <f>'DADOS BÁSICOS LICITAÇÃO'!E4</f>
        <v>01/2021</v>
      </c>
      <c r="D3" s="388"/>
      <c r="E3" s="372"/>
      <c r="F3" s="373"/>
      <c r="G3" s="373"/>
      <c r="H3" s="373"/>
      <c r="I3" s="373"/>
    </row>
    <row r="4" spans="1:9" ht="12.75" customHeight="1">
      <c r="A4" s="374" t="s">
        <v>288</v>
      </c>
      <c r="B4" s="389"/>
      <c r="C4" s="392">
        <f>'DADOS BÁSICOS LICITAÇÃO'!B4</f>
        <v>44358</v>
      </c>
      <c r="D4" s="389"/>
      <c r="E4" s="374"/>
      <c r="F4" s="375"/>
      <c r="G4" s="375"/>
      <c r="H4" s="375"/>
      <c r="I4" s="375"/>
    </row>
    <row r="5" spans="1:9" ht="12.75" customHeight="1">
      <c r="A5" s="390" t="s">
        <v>289</v>
      </c>
      <c r="B5" s="390"/>
      <c r="C5" s="393">
        <f>'DADOS BÁSICOS LICITAÇÃO'!C4</f>
        <v>0.39583333333333298</v>
      </c>
      <c r="D5" s="390"/>
      <c r="E5" s="376"/>
      <c r="F5" s="376"/>
      <c r="G5" s="376"/>
      <c r="H5" s="376"/>
      <c r="I5" s="376"/>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2º ANO'!$A$4</f>
        <v>44344</v>
      </c>
      <c r="I7" s="346"/>
    </row>
    <row r="8" spans="1:9" ht="12.75" customHeight="1">
      <c r="A8" s="36" t="s">
        <v>60</v>
      </c>
      <c r="B8" s="286" t="s">
        <v>61</v>
      </c>
      <c r="C8" s="286"/>
      <c r="D8" s="286"/>
      <c r="E8" s="286"/>
      <c r="F8" s="286"/>
      <c r="G8" s="286"/>
      <c r="H8" s="345" t="str">
        <f>'DADOS BÁSICOS 2º ANO'!A8</f>
        <v>Curitiba/PR</v>
      </c>
      <c r="I8" s="345"/>
    </row>
    <row r="9" spans="1:9" ht="12.75" customHeight="1">
      <c r="A9" s="36" t="s">
        <v>62</v>
      </c>
      <c r="B9" s="286" t="s">
        <v>63</v>
      </c>
      <c r="C9" s="286"/>
      <c r="D9" s="286"/>
      <c r="E9" s="286"/>
      <c r="F9" s="286"/>
      <c r="G9" s="286"/>
      <c r="H9" s="344" t="str">
        <f>'DADOS BÁSICOS 2º ANO'!D8</f>
        <v>PR000326/2021</v>
      </c>
      <c r="I9" s="344"/>
    </row>
    <row r="10" spans="1:9" ht="12.75" customHeight="1">
      <c r="A10" s="36" t="s">
        <v>64</v>
      </c>
      <c r="B10" s="286" t="s">
        <v>65</v>
      </c>
      <c r="C10" s="286"/>
      <c r="D10" s="286"/>
      <c r="E10" s="286"/>
      <c r="F10" s="286"/>
      <c r="G10" s="286"/>
      <c r="H10" s="344">
        <f>'DADOS BÁSICOS 2º ANO'!$E$17</f>
        <v>12</v>
      </c>
      <c r="I10" s="344"/>
    </row>
    <row r="11" spans="1:9" ht="12.75" customHeight="1">
      <c r="A11" s="36" t="s">
        <v>66</v>
      </c>
      <c r="B11" s="286" t="s">
        <v>67</v>
      </c>
      <c r="C11" s="286"/>
      <c r="D11" s="286"/>
      <c r="E11" s="286"/>
      <c r="F11" s="286"/>
      <c r="G11" s="286"/>
      <c r="H11" s="344">
        <f>'DADOS BÁSICOS 2º ANO'!B14</f>
        <v>2</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2º ANO'!A18</f>
        <v>4222-05</v>
      </c>
      <c r="I14" s="342"/>
    </row>
    <row r="15" spans="1:9" ht="12.75" customHeight="1">
      <c r="A15" s="36">
        <v>4</v>
      </c>
      <c r="B15" s="286" t="s">
        <v>73</v>
      </c>
      <c r="C15" s="286"/>
      <c r="D15" s="286"/>
      <c r="E15" s="286"/>
      <c r="F15" s="286"/>
      <c r="G15" s="286"/>
      <c r="H15" s="342" t="str">
        <f>'DADOS BÁSICOS 2º ANO'!B18</f>
        <v>Telefonista</v>
      </c>
      <c r="I15" s="342"/>
    </row>
    <row r="16" spans="1:9" ht="15" customHeight="1">
      <c r="A16" s="41">
        <v>5</v>
      </c>
      <c r="B16" s="286" t="s">
        <v>74</v>
      </c>
      <c r="C16" s="286"/>
      <c r="D16" s="286"/>
      <c r="E16" s="286"/>
      <c r="F16" s="286"/>
      <c r="G16" s="286"/>
      <c r="H16" s="384">
        <f>'DADOS BÁSICOS 2º ANO'!E8</f>
        <v>44228</v>
      </c>
      <c r="I16" s="384"/>
    </row>
    <row r="17" spans="1:9" ht="12.75" customHeight="1">
      <c r="A17" s="36">
        <v>3</v>
      </c>
      <c r="B17" s="286" t="s">
        <v>72</v>
      </c>
      <c r="C17" s="286"/>
      <c r="D17" s="286"/>
      <c r="E17" s="286"/>
      <c r="F17" s="286"/>
      <c r="G17" s="286"/>
      <c r="H17" s="383">
        <f>'DADOS BÁSICOS 2º ANO'!H14</f>
        <v>1415.56</v>
      </c>
      <c r="I17" s="383"/>
    </row>
    <row r="18" spans="1:9" ht="12.75" customHeight="1">
      <c r="A18" s="43">
        <v>6</v>
      </c>
      <c r="B18" s="284" t="s">
        <v>233</v>
      </c>
      <c r="C18" s="284"/>
      <c r="D18" s="284"/>
      <c r="E18" s="284"/>
      <c r="F18" s="284"/>
      <c r="G18" s="284"/>
      <c r="H18" s="382">
        <f>'DADOS BÁSICOS 2º ANO'!G14</f>
        <v>180</v>
      </c>
      <c r="I18" s="382"/>
    </row>
    <row r="19" spans="1:9" ht="12.75" customHeight="1">
      <c r="A19" s="43">
        <v>6</v>
      </c>
      <c r="B19" s="303" t="s">
        <v>234</v>
      </c>
      <c r="C19" s="303"/>
      <c r="D19" s="303"/>
      <c r="E19" s="303"/>
      <c r="F19" s="303"/>
      <c r="G19" s="284"/>
      <c r="H19" s="336">
        <f>'DADOS BÁSICOS 2º ANO'!C18</f>
        <v>150</v>
      </c>
      <c r="I19" s="337"/>
    </row>
    <row r="20" spans="1:9" ht="12.75" customHeight="1">
      <c r="A20" s="43">
        <v>7</v>
      </c>
      <c r="B20" s="284" t="s">
        <v>75</v>
      </c>
      <c r="C20" s="284"/>
      <c r="D20" s="284"/>
      <c r="E20" s="284"/>
      <c r="F20" s="284"/>
      <c r="G20" s="284"/>
      <c r="H20" s="336">
        <f>'DADOS BÁSICOS 2º ANO'!$F$17</f>
        <v>22</v>
      </c>
      <c r="I20" s="337"/>
    </row>
    <row r="21" spans="1:9">
      <c r="A21" s="44" t="s">
        <v>76</v>
      </c>
      <c r="B21" s="38"/>
      <c r="C21" s="38"/>
      <c r="D21" s="38"/>
      <c r="E21" s="38"/>
      <c r="F21" s="38"/>
      <c r="G21" s="38"/>
      <c r="H21" s="39"/>
      <c r="I21" s="40"/>
    </row>
    <row r="22" spans="1:9" ht="12.75" customHeight="1">
      <c r="A22" s="45">
        <v>1</v>
      </c>
      <c r="B22" s="288" t="s">
        <v>77</v>
      </c>
      <c r="C22" s="288"/>
      <c r="D22" s="288"/>
      <c r="E22" s="288"/>
      <c r="F22" s="288"/>
      <c r="G22" s="288"/>
      <c r="H22" s="46" t="s">
        <v>78</v>
      </c>
      <c r="I22" s="47" t="s">
        <v>79</v>
      </c>
    </row>
    <row r="23" spans="1:9" ht="12.75" customHeight="1">
      <c r="A23" s="36" t="s">
        <v>58</v>
      </c>
      <c r="B23" s="286" t="s">
        <v>235</v>
      </c>
      <c r="C23" s="286"/>
      <c r="D23" s="286"/>
      <c r="E23" s="286"/>
      <c r="F23" s="286"/>
      <c r="G23" s="286"/>
      <c r="H23" s="48"/>
      <c r="I23" s="57">
        <f>(H17/'DADOS BÁSICOS 2º ANO'!G14)*'DADOS BÁSICOS 2º ANO'!C18</f>
        <v>1179.6300000000001</v>
      </c>
    </row>
    <row r="24" spans="1:9" ht="12.75" customHeight="1">
      <c r="A24" s="36" t="s">
        <v>60</v>
      </c>
      <c r="B24" s="335" t="s">
        <v>80</v>
      </c>
      <c r="C24" s="335"/>
      <c r="D24" s="335"/>
      <c r="E24" s="335"/>
      <c r="F24" s="335"/>
      <c r="G24" s="335"/>
      <c r="H24" s="50">
        <v>0.3</v>
      </c>
      <c r="I24" s="71">
        <f>I23*H24</f>
        <v>353.89</v>
      </c>
    </row>
    <row r="25" spans="1:9" s="55" customFormat="1" ht="12.75" customHeight="1">
      <c r="A25" s="52" t="s">
        <v>62</v>
      </c>
      <c r="B25" s="335" t="s">
        <v>81</v>
      </c>
      <c r="C25" s="335"/>
      <c r="D25" s="335"/>
      <c r="E25" s="335"/>
      <c r="F25" s="335"/>
      <c r="G25" s="335"/>
      <c r="H25" s="53"/>
      <c r="I25" s="54"/>
    </row>
    <row r="26" spans="1:9" s="55" customFormat="1" ht="12.75" customHeight="1">
      <c r="A26" s="52" t="s">
        <v>64</v>
      </c>
      <c r="B26" s="286" t="s">
        <v>82</v>
      </c>
      <c r="C26" s="286"/>
      <c r="D26" s="286"/>
      <c r="E26" s="286"/>
      <c r="F26" s="286"/>
      <c r="G26" s="286"/>
      <c r="H26" s="56"/>
      <c r="I26" s="57"/>
    </row>
    <row r="27" spans="1:9" s="55" customFormat="1" ht="12.75" customHeight="1">
      <c r="A27" s="52" t="s">
        <v>66</v>
      </c>
      <c r="B27" s="286" t="s">
        <v>83</v>
      </c>
      <c r="C27" s="286"/>
      <c r="D27" s="286"/>
      <c r="E27" s="326"/>
      <c r="F27" s="326"/>
      <c r="G27" s="326"/>
      <c r="H27" s="58"/>
      <c r="I27" s="57"/>
    </row>
    <row r="28" spans="1:9" s="55" customFormat="1" ht="12.75" customHeight="1">
      <c r="A28" s="59" t="s">
        <v>84</v>
      </c>
      <c r="B28" s="327"/>
      <c r="C28" s="328"/>
      <c r="D28" s="328"/>
      <c r="E28" s="329"/>
      <c r="F28" s="330"/>
      <c r="G28" s="331"/>
      <c r="H28" s="60"/>
      <c r="I28" s="57"/>
    </row>
    <row r="29" spans="1:9" s="55" customFormat="1" ht="12.75" customHeight="1">
      <c r="A29" s="332" t="s">
        <v>85</v>
      </c>
      <c r="B29" s="332"/>
      <c r="C29" s="332"/>
      <c r="D29" s="332"/>
      <c r="E29" s="332"/>
      <c r="F29" s="332"/>
      <c r="G29" s="332"/>
      <c r="H29" s="61"/>
      <c r="I29" s="62">
        <f>SUM(I23:I28)</f>
        <v>1533.52</v>
      </c>
    </row>
    <row r="30" spans="1:9">
      <c r="A30" s="37" t="s">
        <v>86</v>
      </c>
      <c r="B30" s="63"/>
      <c r="C30" s="63"/>
      <c r="D30" s="63"/>
      <c r="E30" s="63"/>
      <c r="F30" s="63"/>
      <c r="G30" s="63"/>
      <c r="H30" s="64"/>
      <c r="I30" s="65"/>
    </row>
    <row r="31" spans="1:9" ht="18" customHeight="1">
      <c r="A31" s="66" t="s">
        <v>87</v>
      </c>
      <c r="B31" s="334" t="s">
        <v>88</v>
      </c>
      <c r="C31" s="334"/>
      <c r="D31" s="334"/>
      <c r="E31" s="334"/>
      <c r="F31" s="334"/>
      <c r="G31" s="334"/>
      <c r="H31" s="67" t="s">
        <v>89</v>
      </c>
      <c r="I31" s="68" t="s">
        <v>79</v>
      </c>
    </row>
    <row r="32" spans="1:9" ht="16.5" customHeight="1">
      <c r="A32" s="69" t="s">
        <v>58</v>
      </c>
      <c r="B32" s="286" t="s">
        <v>90</v>
      </c>
      <c r="C32" s="286"/>
      <c r="D32" s="286"/>
      <c r="E32" s="286"/>
      <c r="F32" s="286"/>
      <c r="G32" s="286"/>
      <c r="H32" s="70">
        <f>1/12</f>
        <v>8.3299999999999999E-2</v>
      </c>
      <c r="I32" s="71">
        <f>I$29*H$32</f>
        <v>127.74</v>
      </c>
    </row>
    <row r="33" spans="1:9" ht="16.5" customHeight="1">
      <c r="A33" s="69" t="s">
        <v>60</v>
      </c>
      <c r="B33" s="286" t="s">
        <v>91</v>
      </c>
      <c r="C33" s="286"/>
      <c r="D33" s="286"/>
      <c r="E33" s="286"/>
      <c r="F33" s="286"/>
      <c r="G33" s="286"/>
      <c r="H33" s="70">
        <f>SUM(H34:H39)</f>
        <v>0.12720000000000001</v>
      </c>
      <c r="I33" s="71">
        <f>SUM(I34:I39)</f>
        <v>195.06</v>
      </c>
    </row>
    <row r="34" spans="1:9" ht="16.5" customHeight="1">
      <c r="A34" s="69"/>
      <c r="B34" s="69" t="s">
        <v>183</v>
      </c>
      <c r="C34" s="302" t="s">
        <v>188</v>
      </c>
      <c r="D34" s="303"/>
      <c r="E34" s="303"/>
      <c r="F34" s="303"/>
      <c r="G34" s="284"/>
      <c r="H34" s="70">
        <f>(1/3)/12</f>
        <v>2.7799999999999998E-2</v>
      </c>
      <c r="I34" s="71">
        <f t="shared" ref="I34:I39" si="0">I$29*H34</f>
        <v>42.63</v>
      </c>
    </row>
    <row r="35" spans="1:9" ht="16.5" customHeight="1">
      <c r="A35" s="72"/>
      <c r="B35" s="72" t="s">
        <v>184</v>
      </c>
      <c r="C35" s="320" t="s">
        <v>205</v>
      </c>
      <c r="D35" s="321"/>
      <c r="E35" s="321"/>
      <c r="F35" s="321"/>
      <c r="G35" s="322"/>
      <c r="H35" s="73">
        <f>1/12</f>
        <v>8.3299999999999999E-2</v>
      </c>
      <c r="I35" s="246">
        <f t="shared" si="0"/>
        <v>127.74</v>
      </c>
    </row>
    <row r="36" spans="1:9" ht="16.5" customHeight="1">
      <c r="A36" s="72"/>
      <c r="B36" s="72" t="s">
        <v>266</v>
      </c>
      <c r="C36" s="320" t="s">
        <v>267</v>
      </c>
      <c r="D36" s="321"/>
      <c r="E36" s="321"/>
      <c r="F36" s="321"/>
      <c r="G36" s="322"/>
      <c r="H36" s="73">
        <v>0</v>
      </c>
      <c r="I36" s="74">
        <f t="shared" si="0"/>
        <v>0</v>
      </c>
    </row>
    <row r="37" spans="1:9" ht="16.5" customHeight="1">
      <c r="A37" s="76"/>
      <c r="B37" s="76" t="s">
        <v>185</v>
      </c>
      <c r="C37" s="323" t="s">
        <v>206</v>
      </c>
      <c r="D37" s="324"/>
      <c r="E37" s="324"/>
      <c r="F37" s="324"/>
      <c r="G37" s="325"/>
      <c r="H37" s="77">
        <f>((H11/12)/12)/H11</f>
        <v>6.8999999999999999E-3</v>
      </c>
      <c r="I37" s="226">
        <f t="shared" si="0"/>
        <v>10.58</v>
      </c>
    </row>
    <row r="38" spans="1:9" ht="16.5" customHeight="1">
      <c r="A38" s="76"/>
      <c r="B38" s="76" t="s">
        <v>186</v>
      </c>
      <c r="C38" s="323" t="s">
        <v>207</v>
      </c>
      <c r="D38" s="324"/>
      <c r="E38" s="324"/>
      <c r="F38" s="324"/>
      <c r="G38" s="325"/>
      <c r="H38" s="77">
        <f>H37/3</f>
        <v>2.3E-3</v>
      </c>
      <c r="I38" s="226">
        <f t="shared" si="0"/>
        <v>3.53</v>
      </c>
    </row>
    <row r="39" spans="1:9" ht="16.5" customHeight="1">
      <c r="A39" s="76"/>
      <c r="B39" s="76" t="s">
        <v>187</v>
      </c>
      <c r="C39" s="323" t="s">
        <v>208</v>
      </c>
      <c r="D39" s="324"/>
      <c r="E39" s="324"/>
      <c r="F39" s="324"/>
      <c r="G39" s="325"/>
      <c r="H39" s="77">
        <f>((H11/12)/12)/H11</f>
        <v>6.8999999999999999E-3</v>
      </c>
      <c r="I39" s="226">
        <f t="shared" si="0"/>
        <v>10.58</v>
      </c>
    </row>
    <row r="40" spans="1:9">
      <c r="A40" s="287" t="s">
        <v>85</v>
      </c>
      <c r="B40" s="287"/>
      <c r="C40" s="287"/>
      <c r="D40" s="287"/>
      <c r="E40" s="287"/>
      <c r="F40" s="287"/>
      <c r="G40" s="287"/>
      <c r="H40" s="79">
        <f>SUM(H32:H33)</f>
        <v>0.21049999999999999</v>
      </c>
      <c r="I40" s="80">
        <f>SUM(I32:I33)</f>
        <v>322.8</v>
      </c>
    </row>
    <row r="41" spans="1:9">
      <c r="A41" s="304" t="s">
        <v>92</v>
      </c>
      <c r="B41" s="304"/>
      <c r="C41" s="304"/>
      <c r="D41" s="304"/>
      <c r="E41" s="304"/>
      <c r="F41" s="304"/>
      <c r="G41" s="304"/>
      <c r="H41" s="81" t="s">
        <v>93</v>
      </c>
      <c r="I41" s="82">
        <f>I29</f>
        <v>1533.52</v>
      </c>
    </row>
    <row r="42" spans="1:9">
      <c r="A42" s="304"/>
      <c r="B42" s="304"/>
      <c r="C42" s="304"/>
      <c r="D42" s="304"/>
      <c r="E42" s="304"/>
      <c r="F42" s="304"/>
      <c r="G42" s="304"/>
      <c r="H42" s="81" t="s">
        <v>99</v>
      </c>
      <c r="I42" s="82">
        <f>I40</f>
        <v>322.8</v>
      </c>
    </row>
    <row r="43" spans="1:9">
      <c r="A43" s="304"/>
      <c r="B43" s="304"/>
      <c r="C43" s="304"/>
      <c r="D43" s="304"/>
      <c r="E43" s="304"/>
      <c r="F43" s="304"/>
      <c r="G43" s="304"/>
      <c r="H43" s="81" t="s">
        <v>85</v>
      </c>
      <c r="I43" s="82">
        <f>SUM(I41:I42)</f>
        <v>1856.32</v>
      </c>
    </row>
    <row r="44" spans="1:9" ht="33" customHeight="1">
      <c r="A44" s="37" t="s">
        <v>105</v>
      </c>
      <c r="B44" s="63"/>
      <c r="C44" s="63"/>
      <c r="D44" s="63"/>
      <c r="E44" s="63"/>
      <c r="F44" s="63"/>
      <c r="G44" s="63"/>
      <c r="H44" s="64"/>
      <c r="I44" s="65"/>
    </row>
    <row r="45" spans="1:9" ht="19.5" customHeight="1">
      <c r="A45" s="83" t="s">
        <v>106</v>
      </c>
      <c r="B45" s="288" t="s">
        <v>107</v>
      </c>
      <c r="C45" s="288"/>
      <c r="D45" s="288"/>
      <c r="E45" s="288"/>
      <c r="F45" s="288"/>
      <c r="G45" s="288"/>
      <c r="H45" s="67" t="s">
        <v>89</v>
      </c>
      <c r="I45" s="84" t="s">
        <v>79</v>
      </c>
    </row>
    <row r="46" spans="1:9" ht="12.75" customHeight="1">
      <c r="A46" s="85" t="s">
        <v>58</v>
      </c>
      <c r="B46" s="286" t="s">
        <v>32</v>
      </c>
      <c r="C46" s="286"/>
      <c r="D46" s="286"/>
      <c r="E46" s="286"/>
      <c r="F46" s="286"/>
      <c r="G46" s="286"/>
      <c r="H46" s="50">
        <f>IF('DADOS BÁSICOS 2º ANO'!$B$25="LUCRO PRESUMIDO",'DADOS BÁSICOS 2º ANO'!$B$29,'DADOS BÁSICOS 2º ANO'!$C$29)</f>
        <v>0.2</v>
      </c>
      <c r="I46" s="71">
        <f>I43*H46</f>
        <v>371.26</v>
      </c>
    </row>
    <row r="47" spans="1:9" ht="12.75" customHeight="1">
      <c r="A47" s="85" t="s">
        <v>60</v>
      </c>
      <c r="B47" s="286" t="s">
        <v>108</v>
      </c>
      <c r="C47" s="286"/>
      <c r="D47" s="286"/>
      <c r="E47" s="286"/>
      <c r="F47" s="286"/>
      <c r="G47" s="286"/>
      <c r="H47" s="50">
        <f>IF('DADOS BÁSICOS 2º ANO'!$B$25="LUCRO PRESUMIDO",'DADOS BÁSICOS 2º ANO'!$B$30,'DADOS BÁSICOS 2º ANO'!$C$30)</f>
        <v>2.5000000000000001E-2</v>
      </c>
      <c r="I47" s="71">
        <f>I43*H47</f>
        <v>46.41</v>
      </c>
    </row>
    <row r="48" spans="1:9">
      <c r="A48" s="85" t="s">
        <v>62</v>
      </c>
      <c r="B48" s="286" t="s">
        <v>109</v>
      </c>
      <c r="C48" s="286"/>
      <c r="D48" s="286"/>
      <c r="E48" s="286"/>
      <c r="F48" s="286"/>
      <c r="G48" s="286"/>
      <c r="H48" s="50">
        <f>IF('DADOS BÁSICOS 2º ANO'!$B$25="LUCRO PRESUMIDO",'DADOS BÁSICOS 2º ANO'!$B$31,'DADOS BÁSICOS 2º ANO'!$C$31)</f>
        <v>0.03</v>
      </c>
      <c r="I48" s="71">
        <f>I43*H48</f>
        <v>55.69</v>
      </c>
    </row>
    <row r="49" spans="1:9" ht="12.75" customHeight="1">
      <c r="A49" s="85" t="s">
        <v>64</v>
      </c>
      <c r="B49" s="286" t="s">
        <v>35</v>
      </c>
      <c r="C49" s="286"/>
      <c r="D49" s="286"/>
      <c r="E49" s="286"/>
      <c r="F49" s="286"/>
      <c r="G49" s="286"/>
      <c r="H49" s="50">
        <f>IF('DADOS BÁSICOS 2º ANO'!$B$25="LUCRO PRESUMIDO",'DADOS BÁSICOS 2º ANO'!$B$32,'DADOS BÁSICOS 2º ANO'!$C$32)</f>
        <v>1.4999999999999999E-2</v>
      </c>
      <c r="I49" s="71">
        <f>I43*H49</f>
        <v>27.84</v>
      </c>
    </row>
    <row r="50" spans="1:9" ht="12.75" customHeight="1">
      <c r="A50" s="85" t="s">
        <v>66</v>
      </c>
      <c r="B50" s="286" t="s">
        <v>36</v>
      </c>
      <c r="C50" s="286"/>
      <c r="D50" s="286"/>
      <c r="E50" s="286"/>
      <c r="F50" s="286"/>
      <c r="G50" s="286"/>
      <c r="H50" s="50">
        <f>IF('DADOS BÁSICOS 2º ANO'!$B$25="LUCRO PRESUMIDO",'DADOS BÁSICOS 2º ANO'!$B$33,'DADOS BÁSICOS 2º ANO'!$C$33)</f>
        <v>0.01</v>
      </c>
      <c r="I50" s="71">
        <f>I43*H50</f>
        <v>18.559999999999999</v>
      </c>
    </row>
    <row r="51" spans="1:9" ht="12.75" customHeight="1">
      <c r="A51" s="85" t="s">
        <v>84</v>
      </c>
      <c r="B51" s="286" t="s">
        <v>37</v>
      </c>
      <c r="C51" s="286"/>
      <c r="D51" s="286"/>
      <c r="E51" s="286"/>
      <c r="F51" s="286"/>
      <c r="G51" s="286"/>
      <c r="H51" s="50">
        <f>IF('DADOS BÁSICOS 2º ANO'!$B$25="LUCRO PRESUMIDO",'DADOS BÁSICOS 2º ANO'!$B$34,'DADOS BÁSICOS 2º ANO'!$C$34)</f>
        <v>6.0000000000000001E-3</v>
      </c>
      <c r="I51" s="71">
        <f>I43*H51</f>
        <v>11.14</v>
      </c>
    </row>
    <row r="52" spans="1:9" ht="12.75" customHeight="1">
      <c r="A52" s="85" t="s">
        <v>110</v>
      </c>
      <c r="B52" s="286" t="s">
        <v>38</v>
      </c>
      <c r="C52" s="286"/>
      <c r="D52" s="286"/>
      <c r="E52" s="286"/>
      <c r="F52" s="286"/>
      <c r="G52" s="286"/>
      <c r="H52" s="50">
        <f>IF('DADOS BÁSICOS 2º ANO'!$B$25="LUCRO PRESUMIDO",'DADOS BÁSICOS 2º ANO'!$B$35,'DADOS BÁSICOS 2º ANO'!$C$35)</f>
        <v>2E-3</v>
      </c>
      <c r="I52" s="71">
        <f>I43*H52</f>
        <v>3.71</v>
      </c>
    </row>
    <row r="53" spans="1:9" ht="12.75" customHeight="1">
      <c r="A53" s="86" t="s">
        <v>111</v>
      </c>
      <c r="B53" s="286" t="s">
        <v>39</v>
      </c>
      <c r="C53" s="286"/>
      <c r="D53" s="286"/>
      <c r="E53" s="286"/>
      <c r="F53" s="286"/>
      <c r="G53" s="286"/>
      <c r="H53" s="50">
        <f>IF('DADOS BÁSICOS 2º ANO'!$B$25="LUCRO PRESUMIDO",'DADOS BÁSICOS 2º ANO'!$B$36,'DADOS BÁSICOS 2º ANO'!$C$36)</f>
        <v>0.08</v>
      </c>
      <c r="I53" s="71">
        <f>I43*H53</f>
        <v>148.51</v>
      </c>
    </row>
    <row r="54" spans="1:9" ht="18.75" customHeight="1">
      <c r="A54" s="287" t="s">
        <v>85</v>
      </c>
      <c r="B54" s="287"/>
      <c r="C54" s="287"/>
      <c r="D54" s="287"/>
      <c r="E54" s="287"/>
      <c r="F54" s="287"/>
      <c r="G54" s="287"/>
      <c r="H54" s="87">
        <f>SUM(H46:H53)</f>
        <v>0.36799999999999999</v>
      </c>
      <c r="I54" s="80">
        <f t="shared" ref="I54" si="1">SUM(I46:I53)</f>
        <v>683.12</v>
      </c>
    </row>
    <row r="55" spans="1:9" ht="33" customHeight="1">
      <c r="A55" s="88" t="s">
        <v>112</v>
      </c>
      <c r="B55" s="88"/>
      <c r="C55" s="88"/>
      <c r="D55" s="88"/>
      <c r="E55" s="88"/>
      <c r="F55" s="88"/>
      <c r="G55" s="88"/>
      <c r="H55" s="89"/>
      <c r="I55" s="90"/>
    </row>
    <row r="56" spans="1:9" ht="17.25" customHeight="1">
      <c r="A56" s="83" t="s">
        <v>113</v>
      </c>
      <c r="B56" s="316" t="s">
        <v>114</v>
      </c>
      <c r="C56" s="316"/>
      <c r="D56" s="316"/>
      <c r="E56" s="316"/>
      <c r="F56" s="316"/>
      <c r="G56" s="316"/>
      <c r="H56" s="39"/>
      <c r="I56" s="91" t="s">
        <v>79</v>
      </c>
    </row>
    <row r="57" spans="1:9">
      <c r="A57" s="69" t="s">
        <v>58</v>
      </c>
      <c r="B57" s="294" t="s">
        <v>115</v>
      </c>
      <c r="C57" s="294"/>
      <c r="D57" s="294"/>
      <c r="E57" s="294"/>
      <c r="F57" s="294"/>
      <c r="G57" s="294"/>
      <c r="H57" s="92"/>
      <c r="I57" s="317">
        <f>IF((H58*H59)-(I23*H60)&gt;0,((H58*H59)-(I23*H60)),0)</f>
        <v>127.22</v>
      </c>
    </row>
    <row r="58" spans="1:9" ht="24.75" customHeight="1">
      <c r="A58" s="69"/>
      <c r="B58" s="286" t="s">
        <v>116</v>
      </c>
      <c r="C58" s="286"/>
      <c r="D58" s="286"/>
      <c r="E58" s="286"/>
      <c r="F58" s="286"/>
      <c r="G58" s="286"/>
      <c r="H58" s="93">
        <f>'DADOS BÁSICOS 2º ANO'!P8</f>
        <v>4.5</v>
      </c>
      <c r="I58" s="318"/>
    </row>
    <row r="59" spans="1:9" ht="12.75" customHeight="1">
      <c r="A59" s="94"/>
      <c r="B59" s="286" t="s">
        <v>117</v>
      </c>
      <c r="C59" s="286"/>
      <c r="D59" s="286"/>
      <c r="E59" s="286"/>
      <c r="F59" s="286"/>
      <c r="G59" s="286"/>
      <c r="H59" s="95">
        <f>'DADOS BÁSICOS 2º ANO'!$O8</f>
        <v>44</v>
      </c>
      <c r="I59" s="318"/>
    </row>
    <row r="60" spans="1:9" ht="12.75" customHeight="1">
      <c r="A60" s="69"/>
      <c r="B60" s="286" t="s">
        <v>118</v>
      </c>
      <c r="C60" s="286"/>
      <c r="D60" s="286"/>
      <c r="E60" s="286"/>
      <c r="F60" s="286"/>
      <c r="G60" s="286"/>
      <c r="H60" s="96">
        <v>0.06</v>
      </c>
      <c r="I60" s="319"/>
    </row>
    <row r="61" spans="1:9" ht="15" customHeight="1">
      <c r="A61" s="69" t="s">
        <v>60</v>
      </c>
      <c r="B61" s="286" t="s">
        <v>119</v>
      </c>
      <c r="C61" s="286"/>
      <c r="D61" s="286"/>
      <c r="E61" s="286"/>
      <c r="F61" s="286"/>
      <c r="G61" s="286"/>
      <c r="H61" s="97"/>
      <c r="I61" s="313">
        <f>H62-(H62*H64)</f>
        <v>360</v>
      </c>
    </row>
    <row r="62" spans="1:9" ht="15" customHeight="1">
      <c r="A62" s="69"/>
      <c r="B62" s="286" t="s">
        <v>256</v>
      </c>
      <c r="C62" s="286"/>
      <c r="D62" s="286"/>
      <c r="E62" s="286"/>
      <c r="F62" s="286"/>
      <c r="G62" s="286"/>
      <c r="H62" s="98">
        <f>'DADOS BÁSICOS 2º ANO'!I8</f>
        <v>450</v>
      </c>
      <c r="I62" s="314"/>
    </row>
    <row r="63" spans="1:9" ht="15" customHeight="1">
      <c r="A63" s="69"/>
      <c r="B63" s="286" t="s">
        <v>258</v>
      </c>
      <c r="C63" s="286"/>
      <c r="D63" s="286"/>
      <c r="E63" s="286"/>
      <c r="F63" s="286"/>
      <c r="G63" s="286"/>
      <c r="H63" s="100"/>
      <c r="I63" s="314"/>
    </row>
    <row r="64" spans="1:9" ht="15" customHeight="1">
      <c r="A64" s="69"/>
      <c r="B64" s="286" t="s">
        <v>257</v>
      </c>
      <c r="C64" s="286"/>
      <c r="D64" s="286"/>
      <c r="E64" s="286"/>
      <c r="F64" s="286"/>
      <c r="G64" s="286"/>
      <c r="H64" s="101">
        <f>'DADOS BÁSICOS 2º ANO'!$N8</f>
        <v>0.2</v>
      </c>
      <c r="I64" s="315"/>
    </row>
    <row r="65" spans="1:9" ht="17.25" customHeight="1">
      <c r="A65" s="69" t="s">
        <v>62</v>
      </c>
      <c r="B65" s="286" t="str">
        <f>'DADOS BÁSICOS 2º ANO'!$J$7</f>
        <v>Auxílio Saúde</v>
      </c>
      <c r="C65" s="286"/>
      <c r="D65" s="286"/>
      <c r="E65" s="286"/>
      <c r="F65" s="286"/>
      <c r="G65" s="286"/>
      <c r="H65" s="102"/>
      <c r="I65" s="57">
        <f>'DADOS BÁSICOS 2º ANO'!$J$8</f>
        <v>64</v>
      </c>
    </row>
    <row r="66" spans="1:9" ht="16" customHeight="1">
      <c r="A66" s="69" t="s">
        <v>64</v>
      </c>
      <c r="B66" s="286" t="str">
        <f>'DADOS BÁSICOS 2º ANO'!$K$7</f>
        <v>Benefício Familiar</v>
      </c>
      <c r="C66" s="286"/>
      <c r="D66" s="286"/>
      <c r="E66" s="286"/>
      <c r="F66" s="286"/>
      <c r="G66" s="286"/>
      <c r="H66" s="103"/>
      <c r="I66" s="104">
        <f>'DADOS BÁSICOS 2º ANO'!$K$8</f>
        <v>21</v>
      </c>
    </row>
    <row r="67" spans="1:9" ht="15" customHeight="1">
      <c r="A67" s="69" t="s">
        <v>66</v>
      </c>
      <c r="B67" s="286" t="str">
        <f>'DADOS BÁSICOS 2º ANO'!$L$7</f>
        <v>Fundo de Fomação Profissional</v>
      </c>
      <c r="C67" s="286"/>
      <c r="D67" s="286"/>
      <c r="E67" s="286"/>
      <c r="F67" s="286"/>
      <c r="G67" s="286"/>
      <c r="H67" s="102"/>
      <c r="I67" s="104">
        <f>'DADOS BÁSICOS 2º ANO'!$L$8</f>
        <v>21</v>
      </c>
    </row>
    <row r="68" spans="1:9" ht="18" customHeight="1">
      <c r="A68" s="72" t="s">
        <v>84</v>
      </c>
      <c r="B68" s="312" t="s">
        <v>200</v>
      </c>
      <c r="C68" s="312"/>
      <c r="D68" s="312"/>
      <c r="E68" s="312"/>
      <c r="F68" s="312"/>
      <c r="G68" s="312"/>
      <c r="H68" s="105">
        <f>1/12</f>
        <v>8.3299999999999999E-2</v>
      </c>
      <c r="I68" s="107">
        <f>I61*H68</f>
        <v>29.99</v>
      </c>
    </row>
    <row r="69" spans="1:9" ht="18" customHeight="1">
      <c r="A69" s="72" t="s">
        <v>268</v>
      </c>
      <c r="B69" s="312" t="s">
        <v>269</v>
      </c>
      <c r="C69" s="312"/>
      <c r="D69" s="312"/>
      <c r="E69" s="312"/>
      <c r="F69" s="312"/>
      <c r="G69" s="312"/>
      <c r="H69" s="105">
        <v>0</v>
      </c>
      <c r="I69" s="107">
        <f>I61*H69</f>
        <v>0</v>
      </c>
    </row>
    <row r="70" spans="1:9" ht="18" customHeight="1">
      <c r="A70" s="108" t="s">
        <v>110</v>
      </c>
      <c r="B70" s="297" t="s">
        <v>201</v>
      </c>
      <c r="C70" s="297"/>
      <c r="D70" s="297"/>
      <c r="E70" s="297"/>
      <c r="F70" s="297"/>
      <c r="G70" s="297"/>
      <c r="H70" s="109">
        <f>((H11/12)/12)/H11</f>
        <v>6.8999999999999999E-3</v>
      </c>
      <c r="I70" s="225">
        <f>I61*H70</f>
        <v>2.48</v>
      </c>
    </row>
    <row r="71" spans="1:9" ht="18" customHeight="1">
      <c r="A71" s="76" t="s">
        <v>111</v>
      </c>
      <c r="B71" s="310" t="s">
        <v>202</v>
      </c>
      <c r="C71" s="310"/>
      <c r="D71" s="310"/>
      <c r="E71" s="310"/>
      <c r="F71" s="310"/>
      <c r="G71" s="310"/>
      <c r="H71" s="111">
        <f>(H11/12)/H11</f>
        <v>8.3299999999999999E-2</v>
      </c>
      <c r="I71" s="226">
        <f>I65*H71</f>
        <v>5.33</v>
      </c>
    </row>
    <row r="72" spans="1:9" ht="18" customHeight="1">
      <c r="A72" s="76" t="s">
        <v>198</v>
      </c>
      <c r="B72" s="310" t="s">
        <v>203</v>
      </c>
      <c r="C72" s="310"/>
      <c r="D72" s="310"/>
      <c r="E72" s="310"/>
      <c r="F72" s="310"/>
      <c r="G72" s="310"/>
      <c r="H72" s="111">
        <f t="shared" ref="H72:H73" si="2">1/12</f>
        <v>8.3299999999999999E-2</v>
      </c>
      <c r="I72" s="226">
        <f>I66*H72</f>
        <v>1.75</v>
      </c>
    </row>
    <row r="73" spans="1:9" ht="18" customHeight="1">
      <c r="A73" s="76" t="s">
        <v>199</v>
      </c>
      <c r="B73" s="310" t="s">
        <v>204</v>
      </c>
      <c r="C73" s="310"/>
      <c r="D73" s="310"/>
      <c r="E73" s="310"/>
      <c r="F73" s="310"/>
      <c r="G73" s="310"/>
      <c r="H73" s="111">
        <f t="shared" si="2"/>
        <v>8.3299999999999999E-2</v>
      </c>
      <c r="I73" s="226">
        <f>I67*H73</f>
        <v>1.75</v>
      </c>
    </row>
    <row r="74" spans="1:9" ht="19.5" customHeight="1">
      <c r="A74" s="287" t="s">
        <v>85</v>
      </c>
      <c r="B74" s="287"/>
      <c r="C74" s="287"/>
      <c r="D74" s="287"/>
      <c r="E74" s="287"/>
      <c r="F74" s="287"/>
      <c r="G74" s="287"/>
      <c r="H74" s="113"/>
      <c r="I74" s="80">
        <f>SUM(I57:I73)</f>
        <v>634.52</v>
      </c>
    </row>
    <row r="75" spans="1:9" ht="30.75" customHeight="1">
      <c r="A75" s="37" t="s">
        <v>120</v>
      </c>
      <c r="B75" s="63"/>
      <c r="C75" s="63"/>
      <c r="D75" s="63"/>
      <c r="E75" s="63"/>
      <c r="F75" s="63"/>
      <c r="G75" s="63"/>
      <c r="H75" s="64"/>
      <c r="I75" s="65"/>
    </row>
    <row r="76" spans="1:9" ht="20.25" customHeight="1">
      <c r="A76" s="114">
        <v>2</v>
      </c>
      <c r="B76" s="311" t="s">
        <v>121</v>
      </c>
      <c r="C76" s="311"/>
      <c r="D76" s="311"/>
      <c r="E76" s="311"/>
      <c r="F76" s="311"/>
      <c r="G76" s="311"/>
      <c r="H76" s="115"/>
      <c r="I76" s="116" t="s">
        <v>79</v>
      </c>
    </row>
    <row r="77" spans="1:9" ht="12.75" customHeight="1">
      <c r="A77" s="69" t="s">
        <v>87</v>
      </c>
      <c r="B77" s="286" t="s">
        <v>88</v>
      </c>
      <c r="C77" s="286"/>
      <c r="D77" s="286"/>
      <c r="E77" s="286"/>
      <c r="F77" s="286"/>
      <c r="G77" s="286"/>
      <c r="H77" s="48"/>
      <c r="I77" s="71">
        <f>I40</f>
        <v>322.8</v>
      </c>
    </row>
    <row r="78" spans="1:9" ht="12.75" customHeight="1">
      <c r="A78" s="69" t="s">
        <v>106</v>
      </c>
      <c r="B78" s="286" t="s">
        <v>107</v>
      </c>
      <c r="C78" s="286"/>
      <c r="D78" s="286"/>
      <c r="E78" s="286"/>
      <c r="F78" s="286"/>
      <c r="G78" s="286"/>
      <c r="H78" s="48"/>
      <c r="I78" s="71">
        <f>I54</f>
        <v>683.12</v>
      </c>
    </row>
    <row r="79" spans="1:9" ht="12.75" customHeight="1">
      <c r="A79" s="69" t="s">
        <v>113</v>
      </c>
      <c r="B79" s="286" t="s">
        <v>114</v>
      </c>
      <c r="C79" s="286"/>
      <c r="D79" s="286"/>
      <c r="E79" s="286"/>
      <c r="F79" s="286"/>
      <c r="G79" s="286"/>
      <c r="H79" s="48"/>
      <c r="I79" s="71">
        <f>I74</f>
        <v>634.52</v>
      </c>
    </row>
    <row r="80" spans="1:9">
      <c r="A80" s="304" t="s">
        <v>85</v>
      </c>
      <c r="B80" s="304"/>
      <c r="C80" s="304"/>
      <c r="D80" s="304"/>
      <c r="E80" s="304"/>
      <c r="F80" s="304"/>
      <c r="G80" s="304"/>
      <c r="H80" s="117"/>
      <c r="I80" s="82">
        <f>SUM(I77:I79)</f>
        <v>1640.44</v>
      </c>
    </row>
    <row r="81" spans="1:9" ht="26.25" customHeight="1">
      <c r="A81" s="37" t="s">
        <v>122</v>
      </c>
      <c r="B81" s="118"/>
      <c r="C81" s="118"/>
      <c r="D81" s="118"/>
      <c r="E81" s="118"/>
      <c r="F81" s="118"/>
      <c r="G81" s="118"/>
      <c r="H81" s="64"/>
      <c r="I81" s="65"/>
    </row>
    <row r="82" spans="1:9" ht="26.25" customHeight="1">
      <c r="A82" s="119">
        <v>3</v>
      </c>
      <c r="B82" s="305" t="s">
        <v>123</v>
      </c>
      <c r="C82" s="305"/>
      <c r="D82" s="305"/>
      <c r="E82" s="305"/>
      <c r="F82" s="305"/>
      <c r="G82" s="305"/>
      <c r="H82" s="120" t="s">
        <v>89</v>
      </c>
      <c r="I82" s="47" t="s">
        <v>79</v>
      </c>
    </row>
    <row r="83" spans="1:9">
      <c r="A83" s="121" t="s">
        <v>58</v>
      </c>
      <c r="B83" s="306" t="s">
        <v>124</v>
      </c>
      <c r="C83" s="307"/>
      <c r="D83" s="307"/>
      <c r="E83" s="307"/>
      <c r="F83" s="307"/>
      <c r="G83" s="308"/>
      <c r="H83" s="122">
        <f>((100%/12)*'DADOS BÁSICOS 2º ANO'!$Q8)/10</f>
        <v>2.8E-3</v>
      </c>
      <c r="I83" s="123">
        <f>H83*I$43</f>
        <v>5.2</v>
      </c>
    </row>
    <row r="84" spans="1:9">
      <c r="A84" s="69" t="s">
        <v>60</v>
      </c>
      <c r="B84" s="294" t="s">
        <v>125</v>
      </c>
      <c r="C84" s="294"/>
      <c r="D84" s="294"/>
      <c r="E84" s="294"/>
      <c r="F84" s="294"/>
      <c r="G84" s="294"/>
      <c r="H84" s="124">
        <v>0.08</v>
      </c>
      <c r="I84" s="125">
        <f>I83*H84</f>
        <v>0.42</v>
      </c>
    </row>
    <row r="85" spans="1:9" ht="12.75" customHeight="1">
      <c r="A85" s="126" t="s">
        <v>62</v>
      </c>
      <c r="B85" s="302" t="s">
        <v>126</v>
      </c>
      <c r="C85" s="303"/>
      <c r="D85" s="303"/>
      <c r="E85" s="303"/>
      <c r="F85" s="303"/>
      <c r="G85" s="284"/>
      <c r="H85" s="127">
        <f>8%*40%*'DADOS BÁSICOS 2º ANO'!$Q8</f>
        <v>1.0800000000000001E-2</v>
      </c>
      <c r="I85" s="125">
        <f>I$43*H85</f>
        <v>20.05</v>
      </c>
    </row>
    <row r="86" spans="1:9" ht="17.25" customHeight="1">
      <c r="A86" s="128" t="s">
        <v>64</v>
      </c>
      <c r="B86" s="309" t="s">
        <v>127</v>
      </c>
      <c r="C86" s="309"/>
      <c r="D86" s="309"/>
      <c r="E86" s="309"/>
      <c r="F86" s="309"/>
      <c r="G86" s="309"/>
      <c r="H86" s="247">
        <f>((7/30)/12)/10</f>
        <v>1.944E-3</v>
      </c>
      <c r="I86" s="248">
        <f>H86*I$43</f>
        <v>3.61</v>
      </c>
    </row>
    <row r="87" spans="1:9">
      <c r="A87" s="69" t="s">
        <v>66</v>
      </c>
      <c r="B87" s="294" t="s">
        <v>128</v>
      </c>
      <c r="C87" s="294"/>
      <c r="D87" s="294"/>
      <c r="E87" s="294"/>
      <c r="F87" s="294"/>
      <c r="G87" s="294"/>
      <c r="H87" s="124">
        <f>H54</f>
        <v>0.36799999999999999</v>
      </c>
      <c r="I87" s="131">
        <f>H87*I86</f>
        <v>1.33</v>
      </c>
    </row>
    <row r="88" spans="1:9" ht="12.75" customHeight="1">
      <c r="A88" s="126" t="s">
        <v>84</v>
      </c>
      <c r="B88" s="302" t="s">
        <v>129</v>
      </c>
      <c r="C88" s="303"/>
      <c r="D88" s="303"/>
      <c r="E88" s="303"/>
      <c r="F88" s="303"/>
      <c r="G88" s="284"/>
      <c r="H88" s="127">
        <f>8%*40%*'DADOS BÁSICOS 2º ANO'!$R8</f>
        <v>1.0800000000000001E-2</v>
      </c>
      <c r="I88" s="125">
        <f>I43*H88</f>
        <v>20.05</v>
      </c>
    </row>
    <row r="89" spans="1:9">
      <c r="A89" s="287" t="s">
        <v>85</v>
      </c>
      <c r="B89" s="287"/>
      <c r="C89" s="287"/>
      <c r="D89" s="287"/>
      <c r="E89" s="287"/>
      <c r="F89" s="287"/>
      <c r="G89" s="287"/>
      <c r="H89" s="113"/>
      <c r="I89" s="80">
        <f>SUM(I83:I88)</f>
        <v>50.66</v>
      </c>
    </row>
    <row r="90" spans="1:9">
      <c r="A90" s="304" t="s">
        <v>130</v>
      </c>
      <c r="B90" s="304"/>
      <c r="C90" s="304"/>
      <c r="D90" s="304"/>
      <c r="E90" s="304"/>
      <c r="F90" s="304"/>
      <c r="G90" s="304"/>
      <c r="H90" s="132" t="s">
        <v>93</v>
      </c>
      <c r="I90" s="133">
        <f>I29</f>
        <v>1533.52</v>
      </c>
    </row>
    <row r="91" spans="1:9">
      <c r="A91" s="304"/>
      <c r="B91" s="304"/>
      <c r="C91" s="304"/>
      <c r="D91" s="304"/>
      <c r="E91" s="304"/>
      <c r="F91" s="304"/>
      <c r="G91" s="304"/>
      <c r="H91" s="132" t="s">
        <v>94</v>
      </c>
      <c r="I91" s="133">
        <f>I80</f>
        <v>1640.44</v>
      </c>
    </row>
    <row r="92" spans="1:9">
      <c r="A92" s="304"/>
      <c r="B92" s="304"/>
      <c r="C92" s="304"/>
      <c r="D92" s="304"/>
      <c r="E92" s="304"/>
      <c r="F92" s="304"/>
      <c r="G92" s="304"/>
      <c r="H92" s="132" t="s">
        <v>95</v>
      </c>
      <c r="I92" s="133">
        <f>I89</f>
        <v>50.66</v>
      </c>
    </row>
    <row r="93" spans="1:9">
      <c r="A93" s="304"/>
      <c r="B93" s="304"/>
      <c r="C93" s="304"/>
      <c r="D93" s="304"/>
      <c r="E93" s="304"/>
      <c r="F93" s="304"/>
      <c r="G93" s="304"/>
      <c r="H93" s="132" t="s">
        <v>85</v>
      </c>
      <c r="I93" s="133">
        <f>SUM(I90:I92)</f>
        <v>3224.62</v>
      </c>
    </row>
    <row r="94" spans="1:9" ht="26.25" customHeight="1">
      <c r="A94" s="37" t="s">
        <v>131</v>
      </c>
      <c r="B94" s="134"/>
      <c r="C94" s="134"/>
      <c r="D94" s="134"/>
      <c r="E94" s="134"/>
      <c r="F94" s="134"/>
      <c r="G94" s="134"/>
      <c r="H94" s="135"/>
      <c r="I94" s="136"/>
    </row>
    <row r="95" spans="1:9" s="137" customFormat="1" ht="63.75" customHeight="1">
      <c r="A95" s="138" t="s">
        <v>132</v>
      </c>
      <c r="B95" s="63" t="s">
        <v>133</v>
      </c>
      <c r="C95" s="63"/>
      <c r="D95" s="63"/>
      <c r="E95" s="63"/>
      <c r="F95" s="63"/>
      <c r="G95" s="63"/>
      <c r="H95" s="67" t="s">
        <v>134</v>
      </c>
      <c r="I95" s="68" t="s">
        <v>79</v>
      </c>
    </row>
    <row r="96" spans="1:9" s="137" customFormat="1" ht="16.5" customHeight="1">
      <c r="A96" s="69" t="s">
        <v>58</v>
      </c>
      <c r="B96" s="301" t="s">
        <v>135</v>
      </c>
      <c r="C96" s="301"/>
      <c r="D96" s="301"/>
      <c r="E96" s="301"/>
      <c r="F96" s="301"/>
      <c r="G96" s="301"/>
      <c r="H96" s="139">
        <f>'DADOS BÁSICOS 2º ANO'!$H$59</f>
        <v>4.8734000000000002</v>
      </c>
      <c r="I96" s="71">
        <f>SUM(I97:I104)</f>
        <v>43.67</v>
      </c>
    </row>
    <row r="97" spans="1:9" s="137" customFormat="1" ht="16.5" customHeight="1">
      <c r="A97" s="140" t="s">
        <v>219</v>
      </c>
      <c r="B97" s="300" t="s">
        <v>211</v>
      </c>
      <c r="C97" s="300"/>
      <c r="D97" s="300"/>
      <c r="E97" s="300"/>
      <c r="F97" s="300"/>
      <c r="G97" s="300"/>
      <c r="H97" s="139">
        <f>'DADOS BÁSICOS 2º ANO'!$H$60</f>
        <v>1</v>
      </c>
      <c r="I97" s="141">
        <f>((I$93/30)*H97)/H$10</f>
        <v>8.9600000000000009</v>
      </c>
    </row>
    <row r="98" spans="1:9" s="137" customFormat="1" ht="16.5" customHeight="1">
      <c r="A98" s="140" t="s">
        <v>221</v>
      </c>
      <c r="B98" s="300" t="s">
        <v>212</v>
      </c>
      <c r="C98" s="300"/>
      <c r="D98" s="300"/>
      <c r="E98" s="300"/>
      <c r="F98" s="300"/>
      <c r="G98" s="300"/>
      <c r="H98" s="139">
        <f>'DADOS BÁSICOS 2º ANO'!$H$61</f>
        <v>3.4929999999999999</v>
      </c>
      <c r="I98" s="141">
        <f>((I$93/30)*H98)/H$10</f>
        <v>31.29</v>
      </c>
    </row>
    <row r="99" spans="1:9" s="137" customFormat="1" ht="16.5" customHeight="1">
      <c r="A99" s="140" t="s">
        <v>222</v>
      </c>
      <c r="B99" s="300" t="s">
        <v>213</v>
      </c>
      <c r="C99" s="300"/>
      <c r="D99" s="300"/>
      <c r="E99" s="300"/>
      <c r="F99" s="300"/>
      <c r="G99" s="300"/>
      <c r="H99" s="139">
        <f>'DADOS BÁSICOS 2º ANO'!$H$62</f>
        <v>0.26879999999999998</v>
      </c>
      <c r="I99" s="141">
        <f t="shared" ref="I99:I108" si="3">(I$93/30)*(H99/H$10)</f>
        <v>2.41</v>
      </c>
    </row>
    <row r="100" spans="1:9" s="137" customFormat="1" ht="16.5" customHeight="1">
      <c r="A100" s="140" t="s">
        <v>228</v>
      </c>
      <c r="B100" s="300" t="s">
        <v>214</v>
      </c>
      <c r="C100" s="300"/>
      <c r="D100" s="300"/>
      <c r="E100" s="300"/>
      <c r="F100" s="300"/>
      <c r="G100" s="300"/>
      <c r="H100" s="139">
        <f>'DADOS BÁSICOS 2º ANO'!$H$63</f>
        <v>4.2599999999999999E-2</v>
      </c>
      <c r="I100" s="141">
        <f t="shared" si="3"/>
        <v>0.38</v>
      </c>
    </row>
    <row r="101" spans="1:9" s="137" customFormat="1">
      <c r="A101" s="140" t="s">
        <v>229</v>
      </c>
      <c r="B101" s="300" t="s">
        <v>215</v>
      </c>
      <c r="C101" s="300"/>
      <c r="D101" s="300"/>
      <c r="E101" s="300"/>
      <c r="F101" s="300"/>
      <c r="G101" s="300"/>
      <c r="H101" s="139">
        <f>'DADOS BÁSICOS 2º ANO'!$H$64</f>
        <v>3.5400000000000001E-2</v>
      </c>
      <c r="I101" s="141">
        <f t="shared" si="3"/>
        <v>0.32</v>
      </c>
    </row>
    <row r="102" spans="1:9" ht="16.5" customHeight="1">
      <c r="A102" s="140" t="s">
        <v>230</v>
      </c>
      <c r="B102" s="300" t="s">
        <v>216</v>
      </c>
      <c r="C102" s="300"/>
      <c r="D102" s="300"/>
      <c r="E102" s="300"/>
      <c r="F102" s="300"/>
      <c r="G102" s="300"/>
      <c r="H102" s="139">
        <f>'DADOS BÁSICOS 2º ANO'!$H$65</f>
        <v>0.02</v>
      </c>
      <c r="I102" s="141">
        <f t="shared" si="3"/>
        <v>0.18</v>
      </c>
    </row>
    <row r="103" spans="1:9" ht="16.5" customHeight="1">
      <c r="A103" s="140" t="s">
        <v>231</v>
      </c>
      <c r="B103" s="300" t="s">
        <v>217</v>
      </c>
      <c r="C103" s="300"/>
      <c r="D103" s="300"/>
      <c r="E103" s="300"/>
      <c r="F103" s="300"/>
      <c r="G103" s="300"/>
      <c r="H103" s="139">
        <f>'DADOS BÁSICOS 2º ANO'!$H$66</f>
        <v>4.0000000000000001E-3</v>
      </c>
      <c r="I103" s="141">
        <f t="shared" si="3"/>
        <v>0.04</v>
      </c>
    </row>
    <row r="104" spans="1:9" ht="16.5" customHeight="1">
      <c r="A104" s="140" t="s">
        <v>232</v>
      </c>
      <c r="B104" s="300" t="s">
        <v>218</v>
      </c>
      <c r="C104" s="300"/>
      <c r="D104" s="300"/>
      <c r="E104" s="300"/>
      <c r="F104" s="300"/>
      <c r="G104" s="300"/>
      <c r="H104" s="139">
        <f>'DADOS BÁSICOS 2º ANO'!$H$67</f>
        <v>9.5999999999999992E-3</v>
      </c>
      <c r="I104" s="141">
        <f t="shared" si="3"/>
        <v>0.09</v>
      </c>
    </row>
    <row r="105" spans="1:9" ht="16.5" customHeight="1">
      <c r="A105" s="69" t="s">
        <v>60</v>
      </c>
      <c r="B105" s="301" t="s">
        <v>136</v>
      </c>
      <c r="C105" s="301"/>
      <c r="D105" s="301"/>
      <c r="E105" s="301"/>
      <c r="F105" s="301"/>
      <c r="G105" s="301"/>
      <c r="H105" s="139">
        <f>'DADOS BÁSICOS 2º ANO'!$H$68</f>
        <v>0.19980000000000001</v>
      </c>
      <c r="I105" s="71">
        <f t="shared" si="3"/>
        <v>1.79</v>
      </c>
    </row>
    <row r="106" spans="1:9" ht="16.5" customHeight="1">
      <c r="A106" s="69" t="s">
        <v>62</v>
      </c>
      <c r="B106" s="301" t="s">
        <v>137</v>
      </c>
      <c r="C106" s="301"/>
      <c r="D106" s="301"/>
      <c r="E106" s="301"/>
      <c r="F106" s="301"/>
      <c r="G106" s="301"/>
      <c r="H106" s="139">
        <f>'DADOS BÁSICOS 2º ANO'!$H$69</f>
        <v>0.96619999999999995</v>
      </c>
      <c r="I106" s="71">
        <f t="shared" si="3"/>
        <v>8.65</v>
      </c>
    </row>
    <row r="107" spans="1:9" ht="16.5" customHeight="1">
      <c r="A107" s="69" t="s">
        <v>64</v>
      </c>
      <c r="B107" s="301" t="s">
        <v>138</v>
      </c>
      <c r="C107" s="301"/>
      <c r="D107" s="301"/>
      <c r="E107" s="301"/>
      <c r="F107" s="301"/>
      <c r="G107" s="301"/>
      <c r="H107" s="139">
        <f>'DADOS BÁSICOS 2º ANO'!$H$70</f>
        <v>2.4771999999999998</v>
      </c>
      <c r="I107" s="71">
        <f t="shared" si="3"/>
        <v>22.19</v>
      </c>
    </row>
    <row r="108" spans="1:9" ht="16.5" customHeight="1">
      <c r="A108" s="41" t="s">
        <v>66</v>
      </c>
      <c r="B108" s="301" t="s">
        <v>139</v>
      </c>
      <c r="C108" s="301"/>
      <c r="D108" s="301"/>
      <c r="E108" s="301"/>
      <c r="F108" s="301"/>
      <c r="G108" s="301"/>
      <c r="H108" s="139">
        <f>'DADOS BÁSICOS 2º ANO'!$H$71</f>
        <v>0</v>
      </c>
      <c r="I108" s="71">
        <f t="shared" si="3"/>
        <v>0</v>
      </c>
    </row>
    <row r="109" spans="1:9">
      <c r="A109" s="287" t="s">
        <v>85</v>
      </c>
      <c r="B109" s="287"/>
      <c r="C109" s="287"/>
      <c r="D109" s="287"/>
      <c r="E109" s="287"/>
      <c r="F109" s="287"/>
      <c r="G109" s="287"/>
      <c r="H109" s="142">
        <f>H96+H105+H106+H107+H108</f>
        <v>8.5166000000000004</v>
      </c>
      <c r="I109" s="80">
        <f>I96+I105+I106+I107+I108</f>
        <v>76.3</v>
      </c>
    </row>
    <row r="110" spans="1:9">
      <c r="A110" s="143" t="s">
        <v>140</v>
      </c>
      <c r="B110" s="290" t="s">
        <v>141</v>
      </c>
      <c r="C110" s="290"/>
      <c r="D110" s="290"/>
      <c r="E110" s="290"/>
      <c r="F110" s="290"/>
      <c r="G110" s="290"/>
      <c r="H110" s="144"/>
      <c r="I110" s="145" t="s">
        <v>79</v>
      </c>
    </row>
    <row r="111" spans="1:9" ht="16.5" customHeight="1">
      <c r="A111" s="69" t="s">
        <v>58</v>
      </c>
      <c r="B111" s="286" t="s">
        <v>142</v>
      </c>
      <c r="C111" s="286"/>
      <c r="D111" s="286"/>
      <c r="E111" s="286"/>
      <c r="F111" s="286"/>
      <c r="G111" s="286"/>
      <c r="H111" s="48"/>
      <c r="I111" s="146">
        <v>0</v>
      </c>
    </row>
    <row r="112" spans="1:9" ht="14.25" customHeight="1">
      <c r="A112" s="287" t="s">
        <v>85</v>
      </c>
      <c r="B112" s="287"/>
      <c r="C112" s="287"/>
      <c r="D112" s="287"/>
      <c r="E112" s="287"/>
      <c r="F112" s="287"/>
      <c r="G112" s="287"/>
      <c r="H112" s="113"/>
      <c r="I112" s="147">
        <f>SUM(I111:I111)</f>
        <v>0</v>
      </c>
    </row>
    <row r="113" spans="1:9">
      <c r="A113" s="37" t="s">
        <v>143</v>
      </c>
      <c r="B113" s="63"/>
      <c r="C113" s="63"/>
      <c r="D113" s="63"/>
      <c r="E113" s="63"/>
      <c r="F113" s="63"/>
      <c r="G113" s="63"/>
      <c r="H113" s="64"/>
      <c r="I113" s="65"/>
    </row>
    <row r="114" spans="1:9" ht="16.5" customHeight="1">
      <c r="A114" s="66">
        <v>4</v>
      </c>
      <c r="B114" s="288" t="s">
        <v>144</v>
      </c>
      <c r="C114" s="288"/>
      <c r="D114" s="288"/>
      <c r="E114" s="288"/>
      <c r="F114" s="288"/>
      <c r="G114" s="288"/>
      <c r="H114" s="148"/>
      <c r="I114" s="68" t="s">
        <v>79</v>
      </c>
    </row>
    <row r="115" spans="1:9" ht="16.5" customHeight="1">
      <c r="A115" s="85" t="s">
        <v>132</v>
      </c>
      <c r="B115" s="284" t="s">
        <v>133</v>
      </c>
      <c r="C115" s="284"/>
      <c r="D115" s="284"/>
      <c r="E115" s="284"/>
      <c r="F115" s="284"/>
      <c r="G115" s="284"/>
      <c r="H115" s="149"/>
      <c r="I115" s="71">
        <f>I109</f>
        <v>76.3</v>
      </c>
    </row>
    <row r="116" spans="1:9" ht="16.5" customHeight="1">
      <c r="A116" s="85" t="s">
        <v>140</v>
      </c>
      <c r="B116" s="299" t="s">
        <v>145</v>
      </c>
      <c r="C116" s="299"/>
      <c r="D116" s="299"/>
      <c r="E116" s="299"/>
      <c r="F116" s="299"/>
      <c r="G116" s="299"/>
      <c r="H116" s="150"/>
      <c r="I116" s="71">
        <f>I112</f>
        <v>0</v>
      </c>
    </row>
    <row r="117" spans="1:9">
      <c r="A117" s="298" t="s">
        <v>85</v>
      </c>
      <c r="B117" s="298"/>
      <c r="C117" s="298"/>
      <c r="D117" s="298"/>
      <c r="E117" s="298"/>
      <c r="F117" s="298"/>
      <c r="G117" s="298"/>
      <c r="H117" s="151"/>
      <c r="I117" s="80">
        <f>SUM(I115:I116)</f>
        <v>76.3</v>
      </c>
    </row>
    <row r="118" spans="1:9" ht="24" customHeight="1">
      <c r="A118" s="37" t="s">
        <v>146</v>
      </c>
      <c r="B118" s="38"/>
      <c r="C118" s="38"/>
      <c r="D118" s="38"/>
      <c r="E118" s="38"/>
      <c r="F118" s="38"/>
      <c r="G118" s="38"/>
      <c r="H118" s="39"/>
      <c r="I118" s="40"/>
    </row>
    <row r="119" spans="1:9" ht="16.5" customHeight="1">
      <c r="A119" s="66">
        <v>5</v>
      </c>
      <c r="B119" s="288" t="s">
        <v>147</v>
      </c>
      <c r="C119" s="288"/>
      <c r="D119" s="288"/>
      <c r="E119" s="288"/>
      <c r="F119" s="288"/>
      <c r="G119" s="288"/>
      <c r="H119" s="148"/>
      <c r="I119" s="68" t="s">
        <v>79</v>
      </c>
    </row>
    <row r="120" spans="1:9">
      <c r="A120" s="154" t="s">
        <v>58</v>
      </c>
      <c r="B120" s="295" t="s">
        <v>40</v>
      </c>
      <c r="C120" s="295"/>
      <c r="D120" s="295"/>
      <c r="E120" s="295"/>
      <c r="F120" s="295"/>
      <c r="G120" s="295"/>
      <c r="H120" s="149"/>
      <c r="I120" s="71">
        <f>SUM(I121:I123)</f>
        <v>71.23</v>
      </c>
    </row>
    <row r="121" spans="1:9" ht="16.5" customHeight="1">
      <c r="A121" s="155" t="s">
        <v>219</v>
      </c>
      <c r="B121" s="286" t="s">
        <v>220</v>
      </c>
      <c r="C121" s="286"/>
      <c r="D121" s="286"/>
      <c r="E121" s="286"/>
      <c r="F121" s="286"/>
      <c r="G121" s="286"/>
      <c r="H121" s="149"/>
      <c r="I121" s="71">
        <f>'DADOS BÁSICOS 2º ANO'!$D$46</f>
        <v>35.61</v>
      </c>
    </row>
    <row r="122" spans="1:9" ht="16.5" customHeight="1">
      <c r="A122" s="158" t="s">
        <v>221</v>
      </c>
      <c r="B122" s="296" t="s">
        <v>223</v>
      </c>
      <c r="C122" s="296"/>
      <c r="D122" s="296"/>
      <c r="E122" s="296"/>
      <c r="F122" s="296"/>
      <c r="G122" s="296"/>
      <c r="H122" s="159">
        <f>(ROUNDUP(((H109*H11)/(365*0.6986)),0))/H11</f>
        <v>0.5</v>
      </c>
      <c r="I122" s="249">
        <f>ROUNDUP(('DADOS BÁSICOS 2º ANO'!$D$46*H122),2)</f>
        <v>17.809999999999999</v>
      </c>
    </row>
    <row r="123" spans="1:9" ht="16.5" customHeight="1">
      <c r="A123" s="108" t="s">
        <v>222</v>
      </c>
      <c r="B123" s="297" t="s">
        <v>209</v>
      </c>
      <c r="C123" s="297"/>
      <c r="D123" s="297"/>
      <c r="E123" s="297"/>
      <c r="F123" s="297"/>
      <c r="G123" s="297"/>
      <c r="H123" s="161">
        <f>((ROUNDUP((H11/12),0))/H11)</f>
        <v>0.5</v>
      </c>
      <c r="I123" s="250">
        <f>'DADOS BÁSICOS 2º ANO'!$D$46*H123</f>
        <v>17.809999999999999</v>
      </c>
    </row>
    <row r="124" spans="1:9" ht="12.75" customHeight="1">
      <c r="A124" s="154" t="s">
        <v>60</v>
      </c>
      <c r="B124" s="295" t="s">
        <v>44</v>
      </c>
      <c r="C124" s="295"/>
      <c r="D124" s="295"/>
      <c r="E124" s="295"/>
      <c r="F124" s="295"/>
      <c r="G124" s="295"/>
      <c r="H124" s="149"/>
      <c r="I124" s="163">
        <f>'DADOS BÁSICOS 2º ANO'!$D$50/H10</f>
        <v>0</v>
      </c>
    </row>
    <row r="125" spans="1:9" ht="12.75" customHeight="1">
      <c r="A125" s="154" t="s">
        <v>62</v>
      </c>
      <c r="B125" s="295" t="s">
        <v>47</v>
      </c>
      <c r="C125" s="295"/>
      <c r="D125" s="295"/>
      <c r="E125" s="295"/>
      <c r="F125" s="295"/>
      <c r="G125" s="295"/>
      <c r="H125" s="149"/>
      <c r="I125" s="163">
        <f>SUM(I126:I128)</f>
        <v>0.24</v>
      </c>
    </row>
    <row r="126" spans="1:9" ht="12.75" customHeight="1">
      <c r="A126" s="69" t="s">
        <v>224</v>
      </c>
      <c r="B126" s="286" t="s">
        <v>226</v>
      </c>
      <c r="C126" s="286"/>
      <c r="D126" s="286"/>
      <c r="E126" s="286"/>
      <c r="F126" s="286"/>
      <c r="G126" s="286"/>
      <c r="H126" s="149"/>
      <c r="I126" s="163">
        <f>('DADOS BÁSICOS 2º ANO'!$G$54/'DADOS BÁSICOS 2º ANO'!$C$54)/(H$11+'RECEPÇÃO 2º ANO'!$H$11)</f>
        <v>0.28999999999999998</v>
      </c>
    </row>
    <row r="127" spans="1:9" ht="16.5" customHeight="1">
      <c r="A127" s="158" t="s">
        <v>225</v>
      </c>
      <c r="B127" s="296" t="s">
        <v>227</v>
      </c>
      <c r="C127" s="296"/>
      <c r="D127" s="296"/>
      <c r="E127" s="296"/>
      <c r="F127" s="296"/>
      <c r="G127" s="296"/>
      <c r="H127" s="159"/>
      <c r="I127" s="165">
        <f>(('DADOS BÁSICOS LICITAÇÃO'!$G$54/'DADOS BÁSICOS LICITAÇÃO'!$C$54)/($H$11+'RECEPÇÃO 2º ANO'!$H$11+(ROUNDUP(((H109*H11)/(365*0.6986)),0)+(ROUNDUP((('RECEPÇÃO 2º ANO'!H109*'RECEPÇÃO 2º ANO'!H11)/(365*0.6986)),0))))-I126)</f>
        <v>-0.02</v>
      </c>
    </row>
    <row r="128" spans="1:9" ht="19.5" customHeight="1">
      <c r="A128" s="108" t="s">
        <v>225</v>
      </c>
      <c r="B128" s="297" t="s">
        <v>210</v>
      </c>
      <c r="C128" s="297"/>
      <c r="D128" s="297"/>
      <c r="E128" s="297"/>
      <c r="F128" s="297"/>
      <c r="G128" s="297"/>
      <c r="H128" s="161"/>
      <c r="I128" s="251">
        <f>(('DADOS BÁSICOS 2º ANO'!$G$54/'DADOS BÁSICOS 2º ANO'!$C$54)/(H$11+'RECEPÇÃO 2º ANO'!$H$11+ROUNDUP((H11/12),0)+ROUNDUP(('RECEPÇÃO 2º ANO'!H11/12),0)))-I126</f>
        <v>-0.03</v>
      </c>
    </row>
    <row r="129" spans="1:9" ht="12.75" customHeight="1">
      <c r="A129" s="287" t="s">
        <v>85</v>
      </c>
      <c r="B129" s="287"/>
      <c r="C129" s="287"/>
      <c r="D129" s="287"/>
      <c r="E129" s="287"/>
      <c r="F129" s="287"/>
      <c r="G129" s="287"/>
      <c r="H129" s="113"/>
      <c r="I129" s="167">
        <f>I120+I124+I125</f>
        <v>71.47</v>
      </c>
    </row>
    <row r="130" spans="1:9" ht="12.75" customHeight="1">
      <c r="A130" s="289" t="s">
        <v>148</v>
      </c>
      <c r="B130" s="289"/>
      <c r="C130" s="289"/>
      <c r="D130" s="289"/>
      <c r="E130" s="289"/>
      <c r="F130" s="289"/>
      <c r="G130" s="289"/>
      <c r="H130" s="132" t="s">
        <v>93</v>
      </c>
      <c r="I130" s="168">
        <f>I29</f>
        <v>1533.52</v>
      </c>
    </row>
    <row r="131" spans="1:9" ht="16.5" customHeight="1">
      <c r="A131" s="289"/>
      <c r="B131" s="289"/>
      <c r="C131" s="289"/>
      <c r="D131" s="289"/>
      <c r="E131" s="289"/>
      <c r="F131" s="289"/>
      <c r="G131" s="289"/>
      <c r="H131" s="132" t="s">
        <v>94</v>
      </c>
      <c r="I131" s="168">
        <f>I80</f>
        <v>1640.44</v>
      </c>
    </row>
    <row r="132" spans="1:9" ht="12.75" customHeight="1">
      <c r="A132" s="289"/>
      <c r="B132" s="289"/>
      <c r="C132" s="289"/>
      <c r="D132" s="289"/>
      <c r="E132" s="289"/>
      <c r="F132" s="289"/>
      <c r="G132" s="289"/>
      <c r="H132" s="132" t="s">
        <v>95</v>
      </c>
      <c r="I132" s="168">
        <f>I89</f>
        <v>50.66</v>
      </c>
    </row>
    <row r="133" spans="1:9">
      <c r="A133" s="289"/>
      <c r="B133" s="289"/>
      <c r="C133" s="289"/>
      <c r="D133" s="289"/>
      <c r="E133" s="289"/>
      <c r="F133" s="289"/>
      <c r="G133" s="289"/>
      <c r="H133" s="132" t="s">
        <v>96</v>
      </c>
      <c r="I133" s="168">
        <f>I117</f>
        <v>76.3</v>
      </c>
    </row>
    <row r="134" spans="1:9">
      <c r="A134" s="289"/>
      <c r="B134" s="289"/>
      <c r="C134" s="289"/>
      <c r="D134" s="289"/>
      <c r="E134" s="289"/>
      <c r="F134" s="289"/>
      <c r="G134" s="289"/>
      <c r="H134" s="132" t="s">
        <v>97</v>
      </c>
      <c r="I134" s="82">
        <f>I129</f>
        <v>71.47</v>
      </c>
    </row>
    <row r="135" spans="1:9">
      <c r="A135" s="289"/>
      <c r="B135" s="289"/>
      <c r="C135" s="289"/>
      <c r="D135" s="289"/>
      <c r="E135" s="289"/>
      <c r="F135" s="289"/>
      <c r="G135" s="289"/>
      <c r="H135" s="132" t="s">
        <v>85</v>
      </c>
      <c r="I135" s="82">
        <f>SUM(I130:I134)</f>
        <v>3372.39</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2º ANO'!$S8</f>
        <v>0.05</v>
      </c>
      <c r="I138" s="71">
        <f>(H138*I135)</f>
        <v>168.62</v>
      </c>
    </row>
    <row r="139" spans="1:9">
      <c r="A139" s="69" t="s">
        <v>60</v>
      </c>
      <c r="B139" s="291" t="s">
        <v>152</v>
      </c>
      <c r="C139" s="292"/>
      <c r="D139" s="292"/>
      <c r="E139" s="292"/>
      <c r="F139" s="292"/>
      <c r="G139" s="293"/>
      <c r="H139" s="124">
        <f>'DADOS BÁSICOS 2º ANO'!$T8</f>
        <v>0.05</v>
      </c>
      <c r="I139" s="71">
        <f>H139*(I135+I138)</f>
        <v>177.05</v>
      </c>
    </row>
    <row r="140" spans="1:9">
      <c r="A140" s="69" t="s">
        <v>62</v>
      </c>
      <c r="B140" s="294" t="s">
        <v>153</v>
      </c>
      <c r="C140" s="294"/>
      <c r="D140" s="294"/>
      <c r="E140" s="294"/>
      <c r="F140" s="294"/>
      <c r="G140" s="294"/>
      <c r="H140" s="169">
        <f>SUM(H141+H142+H143)</f>
        <v>8.6499999999999994E-2</v>
      </c>
      <c r="I140" s="170">
        <f>SUM(I141:I143)</f>
        <v>352.07</v>
      </c>
    </row>
    <row r="141" spans="1:9">
      <c r="A141" s="154"/>
      <c r="B141" s="286" t="s">
        <v>154</v>
      </c>
      <c r="C141" s="286"/>
      <c r="D141" s="286"/>
      <c r="E141" s="286"/>
      <c r="F141" s="286"/>
      <c r="G141" s="286"/>
      <c r="H141" s="127">
        <f>IF('DADOS BÁSICOS 2º ANO'!$B$25="LUCRO PRESUMIDO",'DADOS BÁSICOS 2º ANO'!$B$28,'DADOS BÁSICOS 2º ANO'!$C$28)</f>
        <v>0.03</v>
      </c>
      <c r="I141" s="71">
        <f>SUM(H141*I154)</f>
        <v>122.1</v>
      </c>
    </row>
    <row r="142" spans="1:9">
      <c r="A142" s="154"/>
      <c r="B142" s="286" t="s">
        <v>155</v>
      </c>
      <c r="C142" s="286"/>
      <c r="D142" s="286"/>
      <c r="E142" s="286"/>
      <c r="F142" s="286"/>
      <c r="G142" s="286"/>
      <c r="H142" s="127">
        <f>IF('DADOS BÁSICOS 2º ANO'!$B$25="LUCRO PRESUMIDO",'DADOS BÁSICOS 2º ANO'!$B$27,'DADOS BÁSICOS 2º ANO'!$C$27)</f>
        <v>6.4999999999999997E-3</v>
      </c>
      <c r="I142" s="71">
        <f>SUM(H142*I154)</f>
        <v>26.46</v>
      </c>
    </row>
    <row r="143" spans="1:9">
      <c r="A143" s="154"/>
      <c r="B143" s="286" t="s">
        <v>156</v>
      </c>
      <c r="C143" s="286"/>
      <c r="D143" s="286"/>
      <c r="E143" s="286"/>
      <c r="F143" s="286"/>
      <c r="G143" s="286"/>
      <c r="H143" s="127">
        <f>'DADOS BÁSICOS 2º ANO'!U8</f>
        <v>0.05</v>
      </c>
      <c r="I143" s="71">
        <f>SUM(H143*I154)</f>
        <v>203.51</v>
      </c>
    </row>
    <row r="144" spans="1:9">
      <c r="A144" s="287" t="s">
        <v>85</v>
      </c>
      <c r="B144" s="287"/>
      <c r="C144" s="287"/>
      <c r="D144" s="287"/>
      <c r="E144" s="287"/>
      <c r="F144" s="287"/>
      <c r="G144" s="287"/>
      <c r="H144" s="171"/>
      <c r="I144" s="80">
        <f>SUM(I138+I139+I141+I142+I143)</f>
        <v>697.74</v>
      </c>
    </row>
    <row r="145" spans="1:9">
      <c r="A145" s="172" t="s">
        <v>157</v>
      </c>
      <c r="B145" s="173"/>
      <c r="C145" s="173"/>
      <c r="D145" s="173"/>
      <c r="E145" s="173"/>
      <c r="F145" s="173"/>
      <c r="G145" s="173"/>
      <c r="H145" s="174"/>
      <c r="I145" s="175"/>
    </row>
    <row r="146" spans="1:9">
      <c r="A146" s="288" t="s">
        <v>158</v>
      </c>
      <c r="B146" s="288"/>
      <c r="C146" s="288"/>
      <c r="D146" s="288"/>
      <c r="E146" s="288"/>
      <c r="F146" s="288"/>
      <c r="G146" s="288"/>
      <c r="H146" s="148"/>
      <c r="I146" s="84" t="s">
        <v>79</v>
      </c>
    </row>
    <row r="147" spans="1:9">
      <c r="A147" s="176" t="s">
        <v>58</v>
      </c>
      <c r="B147" s="284" t="s">
        <v>159</v>
      </c>
      <c r="C147" s="284"/>
      <c r="D147" s="284"/>
      <c r="E147" s="284"/>
      <c r="F147" s="284"/>
      <c r="G147" s="284"/>
      <c r="H147" s="48"/>
      <c r="I147" s="177">
        <f>I29</f>
        <v>1533.52</v>
      </c>
    </row>
    <row r="148" spans="1:9">
      <c r="A148" s="176" t="s">
        <v>60</v>
      </c>
      <c r="B148" s="284" t="s">
        <v>121</v>
      </c>
      <c r="C148" s="284"/>
      <c r="D148" s="284"/>
      <c r="E148" s="284"/>
      <c r="F148" s="284"/>
      <c r="G148" s="284"/>
      <c r="H148" s="178"/>
      <c r="I148" s="177">
        <f>I80</f>
        <v>1640.44</v>
      </c>
    </row>
    <row r="149" spans="1:9">
      <c r="A149" s="176" t="s">
        <v>62</v>
      </c>
      <c r="B149" s="284" t="s">
        <v>160</v>
      </c>
      <c r="C149" s="284"/>
      <c r="D149" s="284"/>
      <c r="E149" s="284"/>
      <c r="F149" s="284"/>
      <c r="G149" s="284"/>
      <c r="H149" s="178"/>
      <c r="I149" s="177">
        <f>I89</f>
        <v>50.66</v>
      </c>
    </row>
    <row r="150" spans="1:9">
      <c r="A150" s="176" t="s">
        <v>64</v>
      </c>
      <c r="B150" s="284" t="s">
        <v>144</v>
      </c>
      <c r="C150" s="284"/>
      <c r="D150" s="284"/>
      <c r="E150" s="284"/>
      <c r="F150" s="284"/>
      <c r="G150" s="284"/>
      <c r="H150" s="178"/>
      <c r="I150" s="177">
        <f>I117</f>
        <v>76.3</v>
      </c>
    </row>
    <row r="151" spans="1:9">
      <c r="A151" s="176" t="s">
        <v>66</v>
      </c>
      <c r="B151" s="284" t="s">
        <v>161</v>
      </c>
      <c r="C151" s="284"/>
      <c r="D151" s="284"/>
      <c r="E151" s="284"/>
      <c r="F151" s="284"/>
      <c r="G151" s="284"/>
      <c r="H151" s="178"/>
      <c r="I151" s="177">
        <f>I129</f>
        <v>71.47</v>
      </c>
    </row>
    <row r="152" spans="1:9">
      <c r="A152" s="285" t="s">
        <v>162</v>
      </c>
      <c r="B152" s="285"/>
      <c r="C152" s="285"/>
      <c r="D152" s="285"/>
      <c r="E152" s="285"/>
      <c r="F152" s="285"/>
      <c r="G152" s="285"/>
      <c r="H152" s="179"/>
      <c r="I152" s="180">
        <f>SUM(I147:I151)</f>
        <v>3372.39</v>
      </c>
    </row>
    <row r="153" spans="1:9">
      <c r="A153" s="181" t="s">
        <v>84</v>
      </c>
      <c r="B153" s="286" t="s">
        <v>163</v>
      </c>
      <c r="C153" s="286"/>
      <c r="D153" s="286"/>
      <c r="E153" s="286"/>
      <c r="F153" s="286"/>
      <c r="G153" s="286"/>
      <c r="H153" s="48"/>
      <c r="I153" s="182">
        <f>I144</f>
        <v>697.74</v>
      </c>
    </row>
    <row r="154" spans="1:9" ht="17" thickBot="1">
      <c r="A154" s="285" t="s">
        <v>164</v>
      </c>
      <c r="B154" s="285"/>
      <c r="C154" s="285"/>
      <c r="D154" s="285"/>
      <c r="E154" s="285"/>
      <c r="F154" s="285"/>
      <c r="G154" s="285"/>
      <c r="H154" s="183"/>
      <c r="I154" s="184">
        <f>SUM(I152+I138+I139)/(1-H140)</f>
        <v>4070.13</v>
      </c>
    </row>
    <row r="155" spans="1:9">
      <c r="A155" s="172" t="s">
        <v>165</v>
      </c>
      <c r="B155" s="185"/>
      <c r="C155" s="185"/>
      <c r="D155" s="185"/>
      <c r="E155" s="185"/>
      <c r="F155" s="185"/>
      <c r="G155" s="185"/>
      <c r="H155" s="186" t="s">
        <v>166</v>
      </c>
      <c r="I155" s="185" t="s">
        <v>79</v>
      </c>
    </row>
    <row r="156" spans="1:9">
      <c r="A156" s="43" t="s">
        <v>198</v>
      </c>
      <c r="B156" s="283" t="s">
        <v>27</v>
      </c>
      <c r="C156" s="283"/>
      <c r="D156" s="283"/>
      <c r="E156" s="283"/>
      <c r="F156" s="283"/>
      <c r="G156" s="283"/>
      <c r="H156" s="187">
        <f>H11</f>
        <v>2</v>
      </c>
      <c r="I156" s="188">
        <f>H156*I154</f>
        <v>8140.26</v>
      </c>
    </row>
    <row r="157" spans="1:9">
      <c r="I157" s="35"/>
    </row>
    <row r="158" spans="1:9">
      <c r="I158" s="35"/>
    </row>
    <row r="159" spans="1:9">
      <c r="I159" s="35"/>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qbl8e9Icmfv76WSsexek/1cLUp0i03G6I+zASIY061Qgt18jqpTcti9/KDQrcWxhqjFIs5vqCBCa/bGxF2CfA==" saltValue="IOFIMc3voHIBksGyzHar6Q==" spinCount="100000" sheet="1" objects="1" scenarios="1"/>
  <mergeCells count="156">
    <mergeCell ref="B156:G156"/>
    <mergeCell ref="B149:G149"/>
    <mergeCell ref="B150:G150"/>
    <mergeCell ref="B151:G151"/>
    <mergeCell ref="A152:G152"/>
    <mergeCell ref="B153:G153"/>
    <mergeCell ref="A154:G154"/>
    <mergeCell ref="B142:G142"/>
    <mergeCell ref="B143:G143"/>
    <mergeCell ref="A144:G144"/>
    <mergeCell ref="A146:G146"/>
    <mergeCell ref="B147:G147"/>
    <mergeCell ref="B148:G148"/>
    <mergeCell ref="A130:G135"/>
    <mergeCell ref="B137:G137"/>
    <mergeCell ref="B138:G138"/>
    <mergeCell ref="B139:G139"/>
    <mergeCell ref="B140:G140"/>
    <mergeCell ref="B141:G141"/>
    <mergeCell ref="B124:G124"/>
    <mergeCell ref="B125:G125"/>
    <mergeCell ref="B126:G126"/>
    <mergeCell ref="B127:G127"/>
    <mergeCell ref="B128:G128"/>
    <mergeCell ref="A129:G129"/>
    <mergeCell ref="A117:G117"/>
    <mergeCell ref="B119:G119"/>
    <mergeCell ref="B120:G120"/>
    <mergeCell ref="B121:G121"/>
    <mergeCell ref="B122:G122"/>
    <mergeCell ref="B123:G123"/>
    <mergeCell ref="B110:G110"/>
    <mergeCell ref="B111:G111"/>
    <mergeCell ref="A112:G112"/>
    <mergeCell ref="B114:G114"/>
    <mergeCell ref="B115:G115"/>
    <mergeCell ref="B116:G116"/>
    <mergeCell ref="B104:G104"/>
    <mergeCell ref="B105:G105"/>
    <mergeCell ref="B106:G106"/>
    <mergeCell ref="B107:G107"/>
    <mergeCell ref="B108:G108"/>
    <mergeCell ref="A109:G109"/>
    <mergeCell ref="B98:G98"/>
    <mergeCell ref="B99:G99"/>
    <mergeCell ref="B100:G100"/>
    <mergeCell ref="B101:G101"/>
    <mergeCell ref="B102:G102"/>
    <mergeCell ref="B103:G103"/>
    <mergeCell ref="B87:G87"/>
    <mergeCell ref="B88:G88"/>
    <mergeCell ref="A89:G89"/>
    <mergeCell ref="A90:G93"/>
    <mergeCell ref="B96:G96"/>
    <mergeCell ref="B97:G97"/>
    <mergeCell ref="A80:G80"/>
    <mergeCell ref="B82:G82"/>
    <mergeCell ref="B83:G83"/>
    <mergeCell ref="B84:G84"/>
    <mergeCell ref="B85:G85"/>
    <mergeCell ref="B86:G86"/>
    <mergeCell ref="B73:G73"/>
    <mergeCell ref="A74:G74"/>
    <mergeCell ref="B76:G76"/>
    <mergeCell ref="B77:G77"/>
    <mergeCell ref="B78:G78"/>
    <mergeCell ref="B79:G79"/>
    <mergeCell ref="B66:G66"/>
    <mergeCell ref="B67:G67"/>
    <mergeCell ref="B68:G68"/>
    <mergeCell ref="B70:G70"/>
    <mergeCell ref="B71:G71"/>
    <mergeCell ref="B72:G72"/>
    <mergeCell ref="B69:G69"/>
    <mergeCell ref="B61:G61"/>
    <mergeCell ref="I61:I64"/>
    <mergeCell ref="B62:G62"/>
    <mergeCell ref="B63:G63"/>
    <mergeCell ref="B64:G64"/>
    <mergeCell ref="B65:G65"/>
    <mergeCell ref="A54:G54"/>
    <mergeCell ref="B56:G56"/>
    <mergeCell ref="B57:G57"/>
    <mergeCell ref="I57:I60"/>
    <mergeCell ref="B58:G58"/>
    <mergeCell ref="B59:G59"/>
    <mergeCell ref="B60:G60"/>
    <mergeCell ref="B48:G48"/>
    <mergeCell ref="B49:G49"/>
    <mergeCell ref="B50:G50"/>
    <mergeCell ref="B51:G51"/>
    <mergeCell ref="B52:G52"/>
    <mergeCell ref="B53:G53"/>
    <mergeCell ref="C39:G39"/>
    <mergeCell ref="A40:G40"/>
    <mergeCell ref="A41:G43"/>
    <mergeCell ref="B45:G45"/>
    <mergeCell ref="B46:G46"/>
    <mergeCell ref="B47:G47"/>
    <mergeCell ref="B32:G32"/>
    <mergeCell ref="B33:G33"/>
    <mergeCell ref="C34:G34"/>
    <mergeCell ref="C35:G35"/>
    <mergeCell ref="C37:G37"/>
    <mergeCell ref="C38:G38"/>
    <mergeCell ref="B26:G26"/>
    <mergeCell ref="B27:G27"/>
    <mergeCell ref="B28:D28"/>
    <mergeCell ref="E28:G28"/>
    <mergeCell ref="A29:G29"/>
    <mergeCell ref="B31:G31"/>
    <mergeCell ref="C36:G36"/>
    <mergeCell ref="B20:G20"/>
    <mergeCell ref="H20:I20"/>
    <mergeCell ref="B22:G22"/>
    <mergeCell ref="B23:G23"/>
    <mergeCell ref="B24:G24"/>
    <mergeCell ref="B25:G25"/>
    <mergeCell ref="B17:G17"/>
    <mergeCell ref="H17:I17"/>
    <mergeCell ref="B18:G18"/>
    <mergeCell ref="H18:I18"/>
    <mergeCell ref="B19:G19"/>
    <mergeCell ref="H19:I19"/>
    <mergeCell ref="B14:G14"/>
    <mergeCell ref="H14:I14"/>
    <mergeCell ref="B15:G15"/>
    <mergeCell ref="H15:I15"/>
    <mergeCell ref="B16:G16"/>
    <mergeCell ref="H16:I16"/>
    <mergeCell ref="B10:G10"/>
    <mergeCell ref="H10:I10"/>
    <mergeCell ref="B11:G11"/>
    <mergeCell ref="H11:I11"/>
    <mergeCell ref="B13:G13"/>
    <mergeCell ref="H13:I13"/>
    <mergeCell ref="E5:I5"/>
    <mergeCell ref="B7:G7"/>
    <mergeCell ref="H7:I7"/>
    <mergeCell ref="B8:G8"/>
    <mergeCell ref="H8:I8"/>
    <mergeCell ref="B9:G9"/>
    <mergeCell ref="H9:I9"/>
    <mergeCell ref="A1:I1"/>
    <mergeCell ref="A6:I6"/>
    <mergeCell ref="A2:B2"/>
    <mergeCell ref="C2:D2"/>
    <mergeCell ref="E2:I2"/>
    <mergeCell ref="A3:B3"/>
    <mergeCell ref="C3:D3"/>
    <mergeCell ref="E3:I3"/>
    <mergeCell ref="A4:B4"/>
    <mergeCell ref="C4:D4"/>
    <mergeCell ref="E4:I4"/>
    <mergeCell ref="A5:B5"/>
    <mergeCell ref="C5:D5"/>
  </mergeCells>
  <pageMargins left="0.511811024" right="0.511811024" top="0.78740157500000008" bottom="0.78740157500000008" header="0.31496062000000008" footer="0.31496062000000008"/>
  <pageSetup paperSize="9" scale="65" fitToWidth="0" fitToHeight="0"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48918-D3B8-4926-B50B-984380D4C820}">
  <dimension ref="A1:I20"/>
  <sheetViews>
    <sheetView workbookViewId="0">
      <selection activeCell="I10" sqref="I10"/>
    </sheetView>
  </sheetViews>
  <sheetFormatPr defaultColWidth="8.7265625" defaultRowHeight="16.5"/>
  <cols>
    <col min="1" max="1" width="7.54296875" style="228" bestFit="1" customWidth="1"/>
    <col min="2" max="2" width="5.7265625" style="228" bestFit="1" customWidth="1"/>
    <col min="3" max="3" width="42.54296875" style="228" bestFit="1" customWidth="1"/>
    <col min="4" max="4" width="15.7265625" style="228" bestFit="1" customWidth="1"/>
    <col min="5" max="5" width="15.54296875" style="228" bestFit="1" customWidth="1"/>
    <col min="6" max="6" width="13.54296875" style="228" bestFit="1" customWidth="1"/>
    <col min="7" max="7" width="17.81640625" style="228" customWidth="1"/>
    <col min="8" max="8" width="17.7265625" style="228" bestFit="1" customWidth="1"/>
    <col min="9" max="9" width="15.81640625" style="228" customWidth="1"/>
    <col min="10" max="10" width="15.81640625" style="228" bestFit="1" customWidth="1"/>
    <col min="11" max="11" width="17.7265625" style="228" customWidth="1"/>
    <col min="12" max="13" width="8.7265625" style="228" customWidth="1"/>
    <col min="14" max="14" width="15.81640625" style="228" bestFit="1" customWidth="1"/>
    <col min="15" max="15" width="8.7265625" style="228" customWidth="1"/>
    <col min="16" max="16384" width="8.7265625" style="228"/>
  </cols>
  <sheetData>
    <row r="1" spans="1:9">
      <c r="A1" s="396" t="s">
        <v>0</v>
      </c>
      <c r="B1" s="396"/>
      <c r="C1" s="396"/>
      <c r="D1" s="396"/>
      <c r="E1" s="396"/>
      <c r="F1" s="396"/>
      <c r="G1" s="396"/>
      <c r="H1" s="396"/>
      <c r="I1" s="396"/>
    </row>
    <row r="2" spans="1:9">
      <c r="A2" s="396"/>
      <c r="B2" s="396"/>
      <c r="C2" s="396"/>
      <c r="D2" s="396"/>
      <c r="E2" s="396"/>
      <c r="F2" s="396"/>
      <c r="G2" s="396"/>
      <c r="H2" s="396"/>
      <c r="I2" s="396"/>
    </row>
    <row r="3" spans="1:9">
      <c r="A3" s="396"/>
      <c r="B3" s="396"/>
      <c r="C3" s="396"/>
      <c r="D3" s="396"/>
      <c r="E3" s="396"/>
      <c r="F3" s="396"/>
      <c r="G3" s="396"/>
      <c r="H3" s="396"/>
      <c r="I3" s="396"/>
    </row>
    <row r="5" spans="1:9" ht="17" thickBot="1"/>
    <row r="6" spans="1:9" ht="63.75" customHeight="1">
      <c r="A6" s="229" t="s">
        <v>1</v>
      </c>
      <c r="B6" s="230" t="s">
        <v>2</v>
      </c>
      <c r="C6" s="231" t="s">
        <v>3</v>
      </c>
      <c r="D6" s="231" t="s">
        <v>4</v>
      </c>
      <c r="E6" s="231" t="s">
        <v>5</v>
      </c>
      <c r="F6" s="232" t="s">
        <v>6</v>
      </c>
      <c r="G6" s="231" t="s">
        <v>167</v>
      </c>
      <c r="H6" s="231" t="s">
        <v>7</v>
      </c>
      <c r="I6" s="233" t="s">
        <v>8</v>
      </c>
    </row>
    <row r="7" spans="1:9">
      <c r="A7" s="398">
        <v>1</v>
      </c>
      <c r="B7" s="234">
        <v>1</v>
      </c>
      <c r="C7" s="235" t="s">
        <v>173</v>
      </c>
      <c r="D7" s="236" t="str">
        <f>'RECEPÇÃO 2º ANO'!H8</f>
        <v>Curitiba/PR</v>
      </c>
      <c r="E7" s="236">
        <f>'RECEPÇÃO 2º ANO'!H11</f>
        <v>46</v>
      </c>
      <c r="F7" s="236">
        <v>1</v>
      </c>
      <c r="G7" s="237">
        <f>'RECEPÇÃO 2º ANO'!I154</f>
        <v>4587.62</v>
      </c>
      <c r="H7" s="237">
        <f>G7*E7</f>
        <v>211030.52</v>
      </c>
      <c r="I7" s="238">
        <f>H7*12</f>
        <v>2532366.2400000002</v>
      </c>
    </row>
    <row r="8" spans="1:9">
      <c r="A8" s="398"/>
      <c r="B8" s="234">
        <v>2</v>
      </c>
      <c r="C8" s="235" t="s">
        <v>173</v>
      </c>
      <c r="D8" s="236" t="str">
        <f>'RECEPÇÃO 2º ANO'!J8</f>
        <v>Guarapuava/PR</v>
      </c>
      <c r="E8" s="236">
        <f>'RECEPÇÃO 2º ANO'!J11</f>
        <v>4</v>
      </c>
      <c r="F8" s="236">
        <v>1</v>
      </c>
      <c r="G8" s="237">
        <f>'RECEPÇÃO 2º ANO'!K154</f>
        <v>4545.93</v>
      </c>
      <c r="H8" s="237">
        <f t="shared" ref="H8:H13" si="0">G8*E8</f>
        <v>18183.72</v>
      </c>
      <c r="I8" s="238">
        <f t="shared" ref="I8:I13" si="1">H8*12</f>
        <v>218204.64</v>
      </c>
    </row>
    <row r="9" spans="1:9">
      <c r="A9" s="398"/>
      <c r="B9" s="234">
        <v>3</v>
      </c>
      <c r="C9" s="235" t="s">
        <v>173</v>
      </c>
      <c r="D9" s="236" t="str">
        <f>'RECEPÇÃO 2º ANO'!L8</f>
        <v>Londrina/PR</v>
      </c>
      <c r="E9" s="236">
        <f>'RECEPÇÃO 2º ANO'!L11</f>
        <v>14</v>
      </c>
      <c r="F9" s="236">
        <v>1</v>
      </c>
      <c r="G9" s="237">
        <f>'RECEPÇÃO 2º ANO'!M154</f>
        <v>4528.71</v>
      </c>
      <c r="H9" s="237">
        <f t="shared" si="0"/>
        <v>63401.94</v>
      </c>
      <c r="I9" s="238">
        <f t="shared" si="1"/>
        <v>760823.28</v>
      </c>
    </row>
    <row r="10" spans="1:9">
      <c r="A10" s="398"/>
      <c r="B10" s="234">
        <v>4</v>
      </c>
      <c r="C10" s="235" t="s">
        <v>173</v>
      </c>
      <c r="D10" s="236" t="str">
        <f>'RECEPÇÃO 2º ANO'!N8</f>
        <v>Maringá/PR</v>
      </c>
      <c r="E10" s="236">
        <f>'RECEPÇÃO 2º ANO'!N11</f>
        <v>12</v>
      </c>
      <c r="F10" s="236">
        <v>1</v>
      </c>
      <c r="G10" s="237">
        <f>'RECEPÇÃO 2º ANO'!O154</f>
        <v>4481.09</v>
      </c>
      <c r="H10" s="237">
        <f t="shared" si="0"/>
        <v>53773.08</v>
      </c>
      <c r="I10" s="238">
        <f t="shared" si="1"/>
        <v>645276.96</v>
      </c>
    </row>
    <row r="11" spans="1:9">
      <c r="A11" s="398"/>
      <c r="B11" s="234">
        <v>5</v>
      </c>
      <c r="C11" s="235" t="s">
        <v>173</v>
      </c>
      <c r="D11" s="236" t="str">
        <f>'RECEPÇÃO 2º ANO'!P8</f>
        <v>Paranaguá/PR</v>
      </c>
      <c r="E11" s="236">
        <f>'RECEPÇÃO 2º ANO'!P11</f>
        <v>6</v>
      </c>
      <c r="F11" s="236">
        <v>1</v>
      </c>
      <c r="G11" s="237">
        <f>'RECEPÇÃO 2º ANO'!Q154</f>
        <v>4505.25</v>
      </c>
      <c r="H11" s="237">
        <f t="shared" si="0"/>
        <v>27031.5</v>
      </c>
      <c r="I11" s="238">
        <f t="shared" si="1"/>
        <v>324378</v>
      </c>
    </row>
    <row r="12" spans="1:9">
      <c r="A12" s="398"/>
      <c r="B12" s="234">
        <v>6</v>
      </c>
      <c r="C12" s="235" t="s">
        <v>173</v>
      </c>
      <c r="D12" s="236" t="str">
        <f>'RECEPÇÃO 2º ANO'!R8</f>
        <v>Ponta Grossa/PR</v>
      </c>
      <c r="E12" s="236">
        <f>'RECEPÇÃO 2º ANO'!R11</f>
        <v>4</v>
      </c>
      <c r="F12" s="236">
        <v>1</v>
      </c>
      <c r="G12" s="237">
        <f>'RECEPÇÃO 2º ANO'!S154</f>
        <v>4594.84</v>
      </c>
      <c r="H12" s="237">
        <f t="shared" si="0"/>
        <v>18379.36</v>
      </c>
      <c r="I12" s="238">
        <f t="shared" si="1"/>
        <v>220552.32000000001</v>
      </c>
    </row>
    <row r="13" spans="1:9">
      <c r="A13" s="398"/>
      <c r="B13" s="234">
        <v>7</v>
      </c>
      <c r="C13" s="235" t="s">
        <v>174</v>
      </c>
      <c r="D13" s="236" t="str">
        <f>'TELEFONISTA 2º ANO'!H8</f>
        <v>Curitiba/PR</v>
      </c>
      <c r="E13" s="236">
        <f>'TELEFONISTA 2º ANO'!H11</f>
        <v>2</v>
      </c>
      <c r="F13" s="236">
        <v>1</v>
      </c>
      <c r="G13" s="237">
        <f>'TELEFONISTA 2º ANO'!I154</f>
        <v>4070.13</v>
      </c>
      <c r="H13" s="237">
        <f t="shared" si="0"/>
        <v>8140.26</v>
      </c>
      <c r="I13" s="238">
        <f t="shared" si="1"/>
        <v>97683.12</v>
      </c>
    </row>
    <row r="14" spans="1:9" ht="17" thickBot="1">
      <c r="A14" s="399" t="s">
        <v>178</v>
      </c>
      <c r="B14" s="400"/>
      <c r="C14" s="400"/>
      <c r="D14" s="400"/>
      <c r="E14" s="239">
        <f>SUM(E7:E13)</f>
        <v>88</v>
      </c>
      <c r="F14" s="239">
        <v>1</v>
      </c>
      <c r="G14" s="240"/>
      <c r="H14" s="241">
        <f>SUM(H7:H13)</f>
        <v>399940.38</v>
      </c>
      <c r="I14" s="242">
        <f>SUM(I7:I13)</f>
        <v>4799284.5599999996</v>
      </c>
    </row>
    <row r="15" spans="1:9">
      <c r="C15" s="243"/>
      <c r="D15" s="243"/>
      <c r="E15" s="243"/>
      <c r="F15" s="243"/>
      <c r="G15" s="243"/>
    </row>
    <row r="16" spans="1:9">
      <c r="B16" s="397"/>
      <c r="C16" s="397"/>
      <c r="D16" s="397"/>
      <c r="E16" s="397"/>
      <c r="F16" s="397"/>
      <c r="G16" s="397"/>
      <c r="H16" s="397"/>
      <c r="I16" s="397"/>
    </row>
    <row r="17" spans="3:7">
      <c r="C17" s="397"/>
      <c r="D17" s="397"/>
      <c r="E17" s="397"/>
      <c r="F17" s="245"/>
      <c r="G17" s="245"/>
    </row>
    <row r="18" spans="3:7">
      <c r="E18" s="243"/>
      <c r="F18" s="243"/>
      <c r="G18" s="243"/>
    </row>
    <row r="19" spans="3:7">
      <c r="E19" s="243"/>
      <c r="F19" s="243"/>
      <c r="G19" s="243"/>
    </row>
    <row r="20" spans="3:7">
      <c r="E20" s="243"/>
      <c r="F20" s="243"/>
      <c r="G20" s="243"/>
    </row>
  </sheetData>
  <sheetProtection algorithmName="SHA-512" hashValue="oLzrz3sh1tJnZoBYyaITsASkuBUe4refv02zq9x1ELGTTllGnUD3iNVlh5yObI3f0QTQJCXsXar6U0rtpgQuIg==" saltValue="UFft30SrblACCJQCi+jyAw==" spinCount="100000" sheet="1" objects="1" scenarios="1"/>
  <mergeCells count="5">
    <mergeCell ref="A1:I3"/>
    <mergeCell ref="A7:A13"/>
    <mergeCell ref="A14:D14"/>
    <mergeCell ref="B16:I16"/>
    <mergeCell ref="C17:E17"/>
  </mergeCells>
  <pageMargins left="0.511811023622047" right="0.511811023622047" top="0.78740157480315021" bottom="0.78740157480315021" header="0.31496062992126012" footer="0.31496062992126012"/>
  <pageSetup paperSize="9" scale="54" fitToWidth="0" fitToHeight="0"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FAD74-BA3A-48E4-8280-97CB39B9CD8D}">
  <dimension ref="A1:W273"/>
  <sheetViews>
    <sheetView topLeftCell="A68" zoomScale="90" zoomScaleNormal="90" workbookViewId="0">
      <selection activeCell="M88" sqref="M88"/>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9.1796875" style="35" bestFit="1" customWidth="1"/>
    <col min="8" max="8" width="15.81640625" style="35" bestFit="1" customWidth="1"/>
    <col min="9" max="9" width="13.54296875" style="189" bestFit="1" customWidth="1"/>
    <col min="10" max="10" width="11.7265625" style="35" customWidth="1"/>
    <col min="11" max="16384" width="11.7265625" style="35"/>
  </cols>
  <sheetData>
    <row r="1" spans="1:9" ht="52.5" customHeight="1">
      <c r="A1" s="401" t="s">
        <v>265</v>
      </c>
      <c r="B1" s="402"/>
      <c r="C1" s="402"/>
      <c r="D1" s="402"/>
      <c r="E1" s="402"/>
      <c r="F1" s="402"/>
      <c r="G1" s="402"/>
      <c r="H1" s="402"/>
      <c r="I1" s="402"/>
    </row>
    <row r="2" spans="1:9" ht="12.75" customHeight="1">
      <c r="A2" s="349" t="s">
        <v>54</v>
      </c>
      <c r="B2" s="349"/>
      <c r="C2" s="349"/>
      <c r="D2" s="349"/>
      <c r="E2" s="349"/>
      <c r="F2" s="349"/>
      <c r="G2" s="349"/>
      <c r="H2" s="349"/>
      <c r="I2" s="349"/>
    </row>
    <row r="3" spans="1:9" ht="12.75" customHeight="1">
      <c r="A3" s="349" t="s">
        <v>55</v>
      </c>
      <c r="B3" s="349"/>
      <c r="C3" s="349"/>
      <c r="D3" s="349"/>
      <c r="E3" s="349"/>
      <c r="F3" s="349"/>
      <c r="G3" s="349"/>
      <c r="H3" s="349"/>
      <c r="I3" s="349"/>
    </row>
    <row r="4" spans="1:9" ht="12.75" customHeight="1">
      <c r="A4" s="350" t="s">
        <v>56</v>
      </c>
      <c r="B4" s="350"/>
      <c r="C4" s="350"/>
      <c r="D4" s="350"/>
      <c r="E4" s="350"/>
      <c r="F4" s="350"/>
      <c r="G4" s="350"/>
      <c r="H4" s="350"/>
      <c r="I4" s="350"/>
    </row>
    <row r="5" spans="1:9" ht="12.75" customHeight="1">
      <c r="A5" s="351"/>
      <c r="B5" s="351"/>
      <c r="C5" s="351"/>
      <c r="D5" s="351"/>
      <c r="E5" s="351"/>
      <c r="F5" s="351"/>
      <c r="G5" s="351"/>
      <c r="H5" s="351"/>
      <c r="I5" s="351"/>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2º ANO'!$A$4</f>
        <v>44344</v>
      </c>
      <c r="I7" s="346"/>
    </row>
    <row r="8" spans="1:9" ht="12.75" customHeight="1">
      <c r="A8" s="36" t="s">
        <v>60</v>
      </c>
      <c r="B8" s="286" t="s">
        <v>61</v>
      </c>
      <c r="C8" s="286"/>
      <c r="D8" s="286"/>
      <c r="E8" s="286"/>
      <c r="F8" s="286"/>
      <c r="G8" s="286"/>
      <c r="H8" s="345" t="str">
        <f>'DADOS BÁSICOS 2º ANO'!A8</f>
        <v>Curitiba/PR</v>
      </c>
      <c r="I8" s="345"/>
    </row>
    <row r="9" spans="1:9" ht="12.75" customHeight="1">
      <c r="A9" s="36" t="s">
        <v>62</v>
      </c>
      <c r="B9" s="286" t="s">
        <v>63</v>
      </c>
      <c r="C9" s="286"/>
      <c r="D9" s="286"/>
      <c r="E9" s="286"/>
      <c r="F9" s="286"/>
      <c r="G9" s="286"/>
      <c r="H9" s="344" t="str">
        <f>'DADOS BÁSICOS 2º ANO'!D8</f>
        <v>PR000326/2021</v>
      </c>
      <c r="I9" s="344"/>
    </row>
    <row r="10" spans="1:9" ht="12.75" customHeight="1">
      <c r="A10" s="36" t="s">
        <v>64</v>
      </c>
      <c r="B10" s="286" t="s">
        <v>65</v>
      </c>
      <c r="C10" s="286"/>
      <c r="D10" s="286"/>
      <c r="E10" s="286"/>
      <c r="F10" s="286"/>
      <c r="G10" s="286"/>
      <c r="H10" s="344">
        <f>'DADOS BÁSICOS 2º ANO'!$E$17</f>
        <v>12</v>
      </c>
      <c r="I10" s="344"/>
    </row>
    <row r="11" spans="1:9" ht="12.75" customHeight="1">
      <c r="A11" s="36" t="s">
        <v>66</v>
      </c>
      <c r="B11" s="286" t="s">
        <v>67</v>
      </c>
      <c r="C11" s="286"/>
      <c r="D11" s="286"/>
      <c r="E11" s="286"/>
      <c r="F11" s="286"/>
      <c r="G11" s="286"/>
      <c r="H11" s="344">
        <f>'DADOS BÁSICOS 2º ANO'!B8</f>
        <v>46</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2º ANO'!$A$17</f>
        <v>4221-05</v>
      </c>
      <c r="I14" s="342"/>
    </row>
    <row r="15" spans="1:9" ht="15" customHeight="1">
      <c r="A15" s="36">
        <v>4</v>
      </c>
      <c r="B15" s="286" t="s">
        <v>73</v>
      </c>
      <c r="C15" s="286"/>
      <c r="D15" s="286"/>
      <c r="E15" s="286"/>
      <c r="F15" s="286"/>
      <c r="G15" s="286"/>
      <c r="H15" s="342" t="str">
        <f>'DADOS BÁSICOS 2º ANO'!$B$17</f>
        <v>Recepcionista</v>
      </c>
      <c r="I15" s="342"/>
    </row>
    <row r="16" spans="1:9" ht="12.75" customHeight="1">
      <c r="A16" s="41">
        <v>5</v>
      </c>
      <c r="B16" s="286" t="s">
        <v>74</v>
      </c>
      <c r="C16" s="286"/>
      <c r="D16" s="286"/>
      <c r="E16" s="286"/>
      <c r="F16" s="286"/>
      <c r="G16" s="286"/>
      <c r="H16" s="384">
        <f>'DADOS BÁSICOS 2º ANO'!E8</f>
        <v>44228</v>
      </c>
      <c r="I16" s="384"/>
    </row>
    <row r="17" spans="1:9" ht="12.75" customHeight="1">
      <c r="A17" s="36">
        <v>3</v>
      </c>
      <c r="B17" s="286" t="s">
        <v>72</v>
      </c>
      <c r="C17" s="286"/>
      <c r="D17" s="286"/>
      <c r="E17" s="286"/>
      <c r="F17" s="286"/>
      <c r="G17" s="286"/>
      <c r="H17" s="383">
        <f>'DADOS BÁSICOS 2º ANO'!H8</f>
        <v>1516.66</v>
      </c>
      <c r="I17" s="383"/>
    </row>
    <row r="18" spans="1:9" ht="12.75" customHeight="1">
      <c r="A18" s="43">
        <v>6</v>
      </c>
      <c r="B18" s="284" t="s">
        <v>233</v>
      </c>
      <c r="C18" s="284"/>
      <c r="D18" s="284"/>
      <c r="E18" s="284"/>
      <c r="F18" s="284"/>
      <c r="G18" s="284"/>
      <c r="H18" s="382">
        <f>'DADOS BÁSICOS 2º ANO'!G8</f>
        <v>220</v>
      </c>
      <c r="I18" s="382"/>
    </row>
    <row r="19" spans="1:9" ht="12.75" customHeight="1">
      <c r="A19" s="43">
        <v>6</v>
      </c>
      <c r="B19" s="303" t="s">
        <v>234</v>
      </c>
      <c r="C19" s="303"/>
      <c r="D19" s="303"/>
      <c r="E19" s="303"/>
      <c r="F19" s="303"/>
      <c r="G19" s="284"/>
      <c r="H19" s="336">
        <f>'DADOS BÁSICOS 2º ANO'!$C$17</f>
        <v>200</v>
      </c>
      <c r="I19" s="337"/>
    </row>
    <row r="20" spans="1:9" ht="12.75" customHeight="1">
      <c r="A20" s="43">
        <v>7</v>
      </c>
      <c r="B20" s="284" t="s">
        <v>75</v>
      </c>
      <c r="C20" s="284"/>
      <c r="D20" s="284"/>
      <c r="E20" s="284"/>
      <c r="F20" s="284"/>
      <c r="G20" s="284"/>
      <c r="H20" s="336">
        <f>'DADOS BÁSICOS 2º ANO'!$F$17</f>
        <v>22</v>
      </c>
      <c r="I20" s="337"/>
    </row>
    <row r="21" spans="1:9">
      <c r="A21" s="44" t="s">
        <v>76</v>
      </c>
      <c r="B21" s="38"/>
      <c r="C21" s="38"/>
      <c r="D21" s="38"/>
      <c r="E21" s="38"/>
      <c r="F21" s="38"/>
      <c r="G21" s="38"/>
      <c r="H21" s="39"/>
      <c r="I21" s="40"/>
    </row>
    <row r="22" spans="1:9" ht="12.75" customHeight="1">
      <c r="A22" s="45">
        <v>1</v>
      </c>
      <c r="B22" s="288" t="s">
        <v>77</v>
      </c>
      <c r="C22" s="288"/>
      <c r="D22" s="288"/>
      <c r="E22" s="288"/>
      <c r="F22" s="288"/>
      <c r="G22" s="288"/>
      <c r="H22" s="46" t="s">
        <v>78</v>
      </c>
      <c r="I22" s="47" t="s">
        <v>79</v>
      </c>
    </row>
    <row r="23" spans="1:9" ht="12.75" customHeight="1">
      <c r="A23" s="36" t="s">
        <v>58</v>
      </c>
      <c r="B23" s="286" t="s">
        <v>235</v>
      </c>
      <c r="C23" s="286"/>
      <c r="D23" s="286"/>
      <c r="E23" s="286"/>
      <c r="F23" s="286"/>
      <c r="G23" s="286"/>
      <c r="H23" s="48"/>
      <c r="I23" s="57">
        <f>H17/'DADOS BÁSICOS 2º ANO'!G8*'MEMÓRIA DE CÁLCULO REF 3º ANO'!H19</f>
        <v>1378.78</v>
      </c>
    </row>
    <row r="24" spans="1:9" ht="12.75" customHeight="1">
      <c r="A24" s="36" t="s">
        <v>60</v>
      </c>
      <c r="B24" s="335" t="s">
        <v>80</v>
      </c>
      <c r="C24" s="335"/>
      <c r="D24" s="335"/>
      <c r="E24" s="335"/>
      <c r="F24" s="335"/>
      <c r="G24" s="335"/>
      <c r="H24" s="50">
        <v>0.3</v>
      </c>
      <c r="I24" s="71">
        <f>I23*H24</f>
        <v>413.63</v>
      </c>
    </row>
    <row r="25" spans="1:9" s="55" customFormat="1" ht="12.75" customHeight="1">
      <c r="A25" s="52" t="s">
        <v>62</v>
      </c>
      <c r="B25" s="335" t="s">
        <v>81</v>
      </c>
      <c r="C25" s="335"/>
      <c r="D25" s="335"/>
      <c r="E25" s="335"/>
      <c r="F25" s="335"/>
      <c r="G25" s="335"/>
      <c r="H25" s="53"/>
      <c r="I25" s="54"/>
    </row>
    <row r="26" spans="1:9" s="55" customFormat="1" ht="12.75" customHeight="1">
      <c r="A26" s="52" t="s">
        <v>64</v>
      </c>
      <c r="B26" s="286" t="s">
        <v>82</v>
      </c>
      <c r="C26" s="286"/>
      <c r="D26" s="286"/>
      <c r="E26" s="286"/>
      <c r="F26" s="286"/>
      <c r="G26" s="286"/>
      <c r="H26" s="56"/>
      <c r="I26" s="57"/>
    </row>
    <row r="27" spans="1:9" s="55" customFormat="1" ht="12.75" customHeight="1">
      <c r="A27" s="52" t="s">
        <v>66</v>
      </c>
      <c r="B27" s="286" t="s">
        <v>83</v>
      </c>
      <c r="C27" s="286"/>
      <c r="D27" s="286"/>
      <c r="E27" s="326"/>
      <c r="F27" s="326"/>
      <c r="G27" s="326"/>
      <c r="H27" s="58"/>
      <c r="I27" s="57"/>
    </row>
    <row r="28" spans="1:9" s="55" customFormat="1" ht="12.75" customHeight="1">
      <c r="A28" s="59" t="s">
        <v>84</v>
      </c>
      <c r="B28" s="327" t="s">
        <v>171</v>
      </c>
      <c r="C28" s="328"/>
      <c r="D28" s="328"/>
      <c r="E28" s="329" t="s">
        <v>172</v>
      </c>
      <c r="F28" s="330"/>
      <c r="G28" s="331"/>
      <c r="H28" s="60">
        <f>'DADOS BÁSICOS 2º ANO'!$C$22</f>
        <v>1.05</v>
      </c>
      <c r="I28" s="57">
        <f>(((I23+I24)/H19)*(1.5))*H28</f>
        <v>14.12</v>
      </c>
    </row>
    <row r="29" spans="1:9" s="55" customFormat="1" ht="12.75" customHeight="1">
      <c r="A29" s="332" t="s">
        <v>85</v>
      </c>
      <c r="B29" s="332"/>
      <c r="C29" s="332"/>
      <c r="D29" s="332"/>
      <c r="E29" s="333"/>
      <c r="F29" s="333"/>
      <c r="G29" s="333"/>
      <c r="H29" s="61"/>
      <c r="I29" s="62">
        <f>SUM(I23:I28)</f>
        <v>1806.53</v>
      </c>
    </row>
    <row r="30" spans="1:9">
      <c r="A30" s="37" t="s">
        <v>86</v>
      </c>
      <c r="B30" s="63"/>
      <c r="C30" s="63"/>
      <c r="D30" s="63"/>
      <c r="E30" s="63"/>
      <c r="F30" s="63"/>
      <c r="G30" s="63"/>
      <c r="H30" s="64"/>
      <c r="I30" s="65"/>
    </row>
    <row r="31" spans="1:9" ht="18" customHeight="1">
      <c r="A31" s="66" t="s">
        <v>87</v>
      </c>
      <c r="B31" s="334" t="s">
        <v>88</v>
      </c>
      <c r="C31" s="334"/>
      <c r="D31" s="334"/>
      <c r="E31" s="334"/>
      <c r="F31" s="334"/>
      <c r="G31" s="334"/>
      <c r="H31" s="67" t="s">
        <v>89</v>
      </c>
      <c r="I31" s="68" t="s">
        <v>79</v>
      </c>
    </row>
    <row r="32" spans="1:9">
      <c r="A32" s="69" t="s">
        <v>58</v>
      </c>
      <c r="B32" s="286" t="s">
        <v>90</v>
      </c>
      <c r="C32" s="286"/>
      <c r="D32" s="286"/>
      <c r="E32" s="286"/>
      <c r="F32" s="286"/>
      <c r="G32" s="286"/>
      <c r="H32" s="70">
        <f>1/12</f>
        <v>8.3299999999999999E-2</v>
      </c>
      <c r="I32" s="71">
        <f>I$29*H$32</f>
        <v>150.47999999999999</v>
      </c>
    </row>
    <row r="33" spans="1:22">
      <c r="A33" s="69" t="s">
        <v>60</v>
      </c>
      <c r="B33" s="286" t="s">
        <v>91</v>
      </c>
      <c r="C33" s="286"/>
      <c r="D33" s="286"/>
      <c r="E33" s="286"/>
      <c r="F33" s="286"/>
      <c r="G33" s="286"/>
      <c r="H33" s="70">
        <f>SUM(H34:H39)</f>
        <v>0.13639999999999999</v>
      </c>
      <c r="I33" s="71">
        <f>SUM(I34:I39)</f>
        <v>246.41</v>
      </c>
    </row>
    <row r="34" spans="1:22">
      <c r="A34" s="69"/>
      <c r="B34" s="69" t="s">
        <v>183</v>
      </c>
      <c r="C34" s="302" t="s">
        <v>188</v>
      </c>
      <c r="D34" s="303"/>
      <c r="E34" s="303"/>
      <c r="F34" s="303"/>
      <c r="G34" s="284"/>
      <c r="H34" s="70">
        <f>(1/3)/12</f>
        <v>2.7799999999999998E-2</v>
      </c>
      <c r="I34" s="71">
        <f t="shared" ref="I34:I39" si="0">I$29*H34</f>
        <v>50.22</v>
      </c>
    </row>
    <row r="35" spans="1:22" ht="16.5" customHeight="1">
      <c r="A35" s="72"/>
      <c r="B35" s="72" t="s">
        <v>184</v>
      </c>
      <c r="C35" s="320" t="s">
        <v>205</v>
      </c>
      <c r="D35" s="321"/>
      <c r="E35" s="321"/>
      <c r="F35" s="321"/>
      <c r="G35" s="322"/>
      <c r="H35" s="73">
        <f>1/12</f>
        <v>8.3299999999999999E-2</v>
      </c>
      <c r="I35" s="246">
        <f t="shared" si="0"/>
        <v>150.47999999999999</v>
      </c>
    </row>
    <row r="36" spans="1:22" ht="16.5" customHeight="1">
      <c r="A36" s="72"/>
      <c r="B36" s="72" t="s">
        <v>266</v>
      </c>
      <c r="C36" s="320" t="s">
        <v>267</v>
      </c>
      <c r="D36" s="321"/>
      <c r="E36" s="321"/>
      <c r="F36" s="321"/>
      <c r="G36" s="322"/>
      <c r="H36" s="73">
        <f>(1/11)/12</f>
        <v>7.6E-3</v>
      </c>
      <c r="I36" s="74">
        <f t="shared" si="0"/>
        <v>13.73</v>
      </c>
      <c r="J36" s="164"/>
    </row>
    <row r="37" spans="1:22" ht="16.5" customHeight="1">
      <c r="A37" s="76"/>
      <c r="B37" s="76" t="s">
        <v>185</v>
      </c>
      <c r="C37" s="323" t="s">
        <v>206</v>
      </c>
      <c r="D37" s="324"/>
      <c r="E37" s="324"/>
      <c r="F37" s="324"/>
      <c r="G37" s="325"/>
      <c r="H37" s="77">
        <f>((H11/11)/12)/H11</f>
        <v>7.6E-3</v>
      </c>
      <c r="I37" s="226">
        <f t="shared" si="0"/>
        <v>13.73</v>
      </c>
    </row>
    <row r="38" spans="1:22" ht="16.5" customHeight="1">
      <c r="A38" s="76"/>
      <c r="B38" s="76" t="s">
        <v>186</v>
      </c>
      <c r="C38" s="323" t="s">
        <v>207</v>
      </c>
      <c r="D38" s="324"/>
      <c r="E38" s="324"/>
      <c r="F38" s="324"/>
      <c r="G38" s="325"/>
      <c r="H38" s="77">
        <f>H37/3</f>
        <v>2.5000000000000001E-3</v>
      </c>
      <c r="I38" s="226">
        <f t="shared" si="0"/>
        <v>4.5199999999999996</v>
      </c>
    </row>
    <row r="39" spans="1:22">
      <c r="A39" s="76"/>
      <c r="B39" s="76" t="s">
        <v>187</v>
      </c>
      <c r="C39" s="323" t="s">
        <v>208</v>
      </c>
      <c r="D39" s="324"/>
      <c r="E39" s="324"/>
      <c r="F39" s="324"/>
      <c r="G39" s="325"/>
      <c r="H39" s="77">
        <f>((H11/11)/12)/H11</f>
        <v>7.6E-3</v>
      </c>
      <c r="I39" s="226">
        <f t="shared" si="0"/>
        <v>13.73</v>
      </c>
    </row>
    <row r="40" spans="1:22">
      <c r="A40" s="287" t="s">
        <v>85</v>
      </c>
      <c r="B40" s="287"/>
      <c r="C40" s="287"/>
      <c r="D40" s="287"/>
      <c r="E40" s="287"/>
      <c r="F40" s="287"/>
      <c r="G40" s="287"/>
      <c r="H40" s="79">
        <f>SUM(H32:H33)</f>
        <v>0.21970000000000001</v>
      </c>
      <c r="I40" s="80">
        <f>SUM(I32:I33)</f>
        <v>396.89</v>
      </c>
    </row>
    <row r="41" spans="1:22">
      <c r="A41" s="304" t="s">
        <v>92</v>
      </c>
      <c r="B41" s="304"/>
      <c r="C41" s="304"/>
      <c r="D41" s="304"/>
      <c r="E41" s="304"/>
      <c r="F41" s="304"/>
      <c r="G41" s="304"/>
      <c r="H41" s="81" t="s">
        <v>93</v>
      </c>
      <c r="I41" s="82">
        <f>I29</f>
        <v>1806.53</v>
      </c>
      <c r="V41" s="271"/>
    </row>
    <row r="42" spans="1:22">
      <c r="A42" s="304"/>
      <c r="B42" s="304"/>
      <c r="C42" s="304"/>
      <c r="D42" s="304"/>
      <c r="E42" s="304"/>
      <c r="F42" s="304"/>
      <c r="G42" s="304"/>
      <c r="H42" s="81" t="s">
        <v>99</v>
      </c>
      <c r="I42" s="82">
        <f>I40</f>
        <v>396.89</v>
      </c>
    </row>
    <row r="43" spans="1:22" ht="33" customHeight="1">
      <c r="A43" s="304"/>
      <c r="B43" s="304"/>
      <c r="C43" s="304"/>
      <c r="D43" s="304"/>
      <c r="E43" s="304"/>
      <c r="F43" s="304"/>
      <c r="G43" s="304"/>
      <c r="H43" s="81" t="s">
        <v>85</v>
      </c>
      <c r="I43" s="82">
        <f>SUM(I41:I42)</f>
        <v>2203.42</v>
      </c>
    </row>
    <row r="44" spans="1:22" ht="19.5" customHeight="1">
      <c r="A44" s="37" t="s">
        <v>105</v>
      </c>
      <c r="B44" s="63"/>
      <c r="C44" s="63"/>
      <c r="D44" s="63"/>
      <c r="E44" s="63"/>
      <c r="F44" s="63"/>
      <c r="G44" s="63"/>
      <c r="H44" s="64"/>
      <c r="I44" s="65"/>
    </row>
    <row r="45" spans="1:22" ht="12.75" customHeight="1">
      <c r="A45" s="83" t="s">
        <v>106</v>
      </c>
      <c r="B45" s="288" t="s">
        <v>107</v>
      </c>
      <c r="C45" s="288"/>
      <c r="D45" s="288"/>
      <c r="E45" s="288"/>
      <c r="F45" s="288"/>
      <c r="G45" s="288"/>
      <c r="H45" s="67" t="s">
        <v>89</v>
      </c>
      <c r="I45" s="84" t="s">
        <v>79</v>
      </c>
      <c r="O45" s="164"/>
    </row>
    <row r="46" spans="1:22" ht="12.75" customHeight="1">
      <c r="A46" s="85" t="s">
        <v>58</v>
      </c>
      <c r="B46" s="286" t="s">
        <v>32</v>
      </c>
      <c r="C46" s="286"/>
      <c r="D46" s="286"/>
      <c r="E46" s="286"/>
      <c r="F46" s="286"/>
      <c r="G46" s="286"/>
      <c r="H46" s="50">
        <f>IF('DADOS BÁSICOS 2º ANO'!$B$25="LUCRO PRESUMIDO",'DADOS BÁSICOS 2º ANO'!$B$29,'DADOS BÁSICOS 2º ANO'!$C$29)</f>
        <v>0.2</v>
      </c>
      <c r="I46" s="71">
        <f>I43*H46</f>
        <v>440.68</v>
      </c>
      <c r="O46" s="164"/>
    </row>
    <row r="47" spans="1:22" ht="17.25" customHeight="1">
      <c r="A47" s="85" t="s">
        <v>60</v>
      </c>
      <c r="B47" s="286" t="s">
        <v>108</v>
      </c>
      <c r="C47" s="286"/>
      <c r="D47" s="286"/>
      <c r="E47" s="286"/>
      <c r="F47" s="286"/>
      <c r="G47" s="286"/>
      <c r="H47" s="50">
        <f>IF('DADOS BÁSICOS 2º ANO'!$B$25="LUCRO PRESUMIDO",'DADOS BÁSICOS 2º ANO'!$B$30,'DADOS BÁSICOS 2º ANO'!$C$30)</f>
        <v>2.5000000000000001E-2</v>
      </c>
      <c r="I47" s="71">
        <f>I43*H47</f>
        <v>55.09</v>
      </c>
    </row>
    <row r="48" spans="1:22" ht="12.75" customHeight="1">
      <c r="A48" s="85" t="s">
        <v>62</v>
      </c>
      <c r="B48" s="286" t="s">
        <v>109</v>
      </c>
      <c r="C48" s="286"/>
      <c r="D48" s="286"/>
      <c r="E48" s="286"/>
      <c r="F48" s="286"/>
      <c r="G48" s="286"/>
      <c r="H48" s="50">
        <f>IF('DADOS BÁSICOS 2º ANO'!$B$25="LUCRO PRESUMIDO",'DADOS BÁSICOS 2º ANO'!$B$31,'DADOS BÁSICOS 2º ANO'!$C$31)</f>
        <v>0.03</v>
      </c>
      <c r="I48" s="71">
        <f>I43*H48</f>
        <v>66.099999999999994</v>
      </c>
    </row>
    <row r="49" spans="1:10" ht="12.75" customHeight="1">
      <c r="A49" s="85" t="s">
        <v>64</v>
      </c>
      <c r="B49" s="286" t="s">
        <v>35</v>
      </c>
      <c r="C49" s="286"/>
      <c r="D49" s="286"/>
      <c r="E49" s="286"/>
      <c r="F49" s="286"/>
      <c r="G49" s="286"/>
      <c r="H49" s="50">
        <f>IF('DADOS BÁSICOS 2º ANO'!$B$25="LUCRO PRESUMIDO",'DADOS BÁSICOS 2º ANO'!$B$32,'DADOS BÁSICOS 2º ANO'!$C$32)</f>
        <v>1.4999999999999999E-2</v>
      </c>
      <c r="I49" s="71">
        <f>I43*H49</f>
        <v>33.049999999999997</v>
      </c>
    </row>
    <row r="50" spans="1:10" ht="12.75" customHeight="1">
      <c r="A50" s="85" t="s">
        <v>66</v>
      </c>
      <c r="B50" s="286" t="s">
        <v>36</v>
      </c>
      <c r="C50" s="286"/>
      <c r="D50" s="286"/>
      <c r="E50" s="286"/>
      <c r="F50" s="286"/>
      <c r="G50" s="286"/>
      <c r="H50" s="50">
        <f>IF('DADOS BÁSICOS 2º ANO'!$B$25="LUCRO PRESUMIDO",'DADOS BÁSICOS 2º ANO'!$B$33,'DADOS BÁSICOS 2º ANO'!$C$33)</f>
        <v>0.01</v>
      </c>
      <c r="I50" s="71">
        <f>I43*H50</f>
        <v>22.03</v>
      </c>
    </row>
    <row r="51" spans="1:10" ht="12.75" customHeight="1">
      <c r="A51" s="85" t="s">
        <v>84</v>
      </c>
      <c r="B51" s="286" t="s">
        <v>37</v>
      </c>
      <c r="C51" s="286"/>
      <c r="D51" s="286"/>
      <c r="E51" s="286"/>
      <c r="F51" s="286"/>
      <c r="G51" s="286"/>
      <c r="H51" s="50">
        <f>IF('DADOS BÁSICOS 2º ANO'!$B$25="LUCRO PRESUMIDO",'DADOS BÁSICOS 2º ANO'!$B$34,'DADOS BÁSICOS 2º ANO'!$C$34)</f>
        <v>6.0000000000000001E-3</v>
      </c>
      <c r="I51" s="71">
        <f>I43*H51</f>
        <v>13.22</v>
      </c>
    </row>
    <row r="52" spans="1:10" ht="12.75" customHeight="1">
      <c r="A52" s="85" t="s">
        <v>110</v>
      </c>
      <c r="B52" s="286" t="s">
        <v>38</v>
      </c>
      <c r="C52" s="286"/>
      <c r="D52" s="286"/>
      <c r="E52" s="286"/>
      <c r="F52" s="286"/>
      <c r="G52" s="286"/>
      <c r="H52" s="50">
        <f>IF('DADOS BÁSICOS 2º ANO'!$B$25="LUCRO PRESUMIDO",'DADOS BÁSICOS 2º ANO'!$B$35,'DADOS BÁSICOS 2º ANO'!$C$35)</f>
        <v>2E-3</v>
      </c>
      <c r="I52" s="71">
        <f>I43*H52</f>
        <v>4.41</v>
      </c>
    </row>
    <row r="53" spans="1:10" ht="18.75" customHeight="1">
      <c r="A53" s="86" t="s">
        <v>111</v>
      </c>
      <c r="B53" s="286" t="s">
        <v>39</v>
      </c>
      <c r="C53" s="286"/>
      <c r="D53" s="286"/>
      <c r="E53" s="286"/>
      <c r="F53" s="286"/>
      <c r="G53" s="286"/>
      <c r="H53" s="50">
        <f>IF('DADOS BÁSICOS 2º ANO'!$B$25="LUCRO PRESUMIDO",'DADOS BÁSICOS 2º ANO'!$B$36,'DADOS BÁSICOS 2º ANO'!$C$36)</f>
        <v>0.08</v>
      </c>
      <c r="I53" s="71">
        <f>I43*H53</f>
        <v>176.27</v>
      </c>
    </row>
    <row r="54" spans="1:10" ht="33" customHeight="1">
      <c r="A54" s="287" t="s">
        <v>85</v>
      </c>
      <c r="B54" s="287"/>
      <c r="C54" s="287"/>
      <c r="D54" s="287"/>
      <c r="E54" s="287"/>
      <c r="F54" s="287"/>
      <c r="G54" s="287"/>
      <c r="H54" s="87">
        <f>SUM(H46:H53)</f>
        <v>0.36799999999999999</v>
      </c>
      <c r="I54" s="80">
        <f t="shared" ref="I54" si="1">SUM(I46:I53)</f>
        <v>810.85</v>
      </c>
    </row>
    <row r="55" spans="1:10" ht="17.25" customHeight="1">
      <c r="A55" s="88" t="s">
        <v>112</v>
      </c>
      <c r="B55" s="88"/>
      <c r="C55" s="88"/>
      <c r="D55" s="88"/>
      <c r="E55" s="88"/>
      <c r="F55" s="88"/>
      <c r="G55" s="88"/>
      <c r="H55" s="89"/>
      <c r="I55" s="90"/>
    </row>
    <row r="56" spans="1:10">
      <c r="A56" s="83" t="s">
        <v>113</v>
      </c>
      <c r="B56" s="316" t="s">
        <v>114</v>
      </c>
      <c r="C56" s="316"/>
      <c r="D56" s="316"/>
      <c r="E56" s="316"/>
      <c r="F56" s="316"/>
      <c r="G56" s="316"/>
      <c r="H56" s="39"/>
      <c r="I56" s="91" t="s">
        <v>79</v>
      </c>
    </row>
    <row r="57" spans="1:10" ht="24.75" customHeight="1">
      <c r="A57" s="69" t="s">
        <v>58</v>
      </c>
      <c r="B57" s="294" t="s">
        <v>115</v>
      </c>
      <c r="C57" s="294"/>
      <c r="D57" s="294"/>
      <c r="E57" s="294"/>
      <c r="F57" s="294"/>
      <c r="G57" s="294"/>
      <c r="H57" s="92"/>
      <c r="I57" s="317">
        <f>IF((H58*H59)-(I23*H60)&gt;0,((H58*H59)-(I23*H60)),0)</f>
        <v>115.27</v>
      </c>
    </row>
    <row r="58" spans="1:10" ht="12.75" customHeight="1">
      <c r="A58" s="69"/>
      <c r="B58" s="286" t="s">
        <v>116</v>
      </c>
      <c r="C58" s="286"/>
      <c r="D58" s="286"/>
      <c r="E58" s="286"/>
      <c r="F58" s="286"/>
      <c r="G58" s="286"/>
      <c r="H58" s="93">
        <f>'DADOS BÁSICOS 2º ANO'!P8</f>
        <v>4.5</v>
      </c>
      <c r="I58" s="318"/>
    </row>
    <row r="59" spans="1:10" ht="12.75" customHeight="1">
      <c r="A59" s="94"/>
      <c r="B59" s="286" t="s">
        <v>117</v>
      </c>
      <c r="C59" s="286"/>
      <c r="D59" s="286"/>
      <c r="E59" s="286"/>
      <c r="F59" s="286"/>
      <c r="G59" s="286"/>
      <c r="H59" s="95">
        <f>'DADOS BÁSICOS 2º ANO'!$O8</f>
        <v>44</v>
      </c>
      <c r="I59" s="318"/>
    </row>
    <row r="60" spans="1:10" ht="15" customHeight="1">
      <c r="A60" s="69"/>
      <c r="B60" s="286" t="s">
        <v>118</v>
      </c>
      <c r="C60" s="286"/>
      <c r="D60" s="286"/>
      <c r="E60" s="286"/>
      <c r="F60" s="286"/>
      <c r="G60" s="286"/>
      <c r="H60" s="96">
        <v>0.06</v>
      </c>
      <c r="I60" s="319"/>
    </row>
    <row r="61" spans="1:10" ht="15" customHeight="1">
      <c r="A61" s="69" t="s">
        <v>60</v>
      </c>
      <c r="B61" s="286" t="s">
        <v>119</v>
      </c>
      <c r="C61" s="286"/>
      <c r="D61" s="286"/>
      <c r="E61" s="286"/>
      <c r="F61" s="286"/>
      <c r="G61" s="286"/>
      <c r="H61" s="97"/>
      <c r="I61" s="313">
        <f>H62-(H62*H64)</f>
        <v>360</v>
      </c>
      <c r="J61" s="99"/>
    </row>
    <row r="62" spans="1:10" ht="15" customHeight="1">
      <c r="A62" s="69"/>
      <c r="B62" s="286" t="s">
        <v>256</v>
      </c>
      <c r="C62" s="286"/>
      <c r="D62" s="286"/>
      <c r="E62" s="286"/>
      <c r="F62" s="286"/>
      <c r="G62" s="286"/>
      <c r="H62" s="98">
        <f>'DADOS BÁSICOS 2º ANO'!I8</f>
        <v>450</v>
      </c>
      <c r="I62" s="314"/>
      <c r="J62" s="99"/>
    </row>
    <row r="63" spans="1:10" ht="15" customHeight="1">
      <c r="A63" s="69"/>
      <c r="B63" s="286" t="s">
        <v>258</v>
      </c>
      <c r="C63" s="286"/>
      <c r="D63" s="286"/>
      <c r="E63" s="286"/>
      <c r="F63" s="286"/>
      <c r="G63" s="286"/>
      <c r="H63" s="100"/>
      <c r="I63" s="314"/>
    </row>
    <row r="64" spans="1:10" ht="17.25" customHeight="1">
      <c r="A64" s="69"/>
      <c r="B64" s="286" t="s">
        <v>257</v>
      </c>
      <c r="C64" s="286"/>
      <c r="D64" s="286"/>
      <c r="E64" s="286"/>
      <c r="F64" s="286"/>
      <c r="G64" s="286"/>
      <c r="H64" s="101">
        <f>'DADOS BÁSICOS 2º ANO'!$N8</f>
        <v>0.2</v>
      </c>
      <c r="I64" s="315"/>
    </row>
    <row r="65" spans="1:23" ht="16" customHeight="1">
      <c r="A65" s="69" t="s">
        <v>62</v>
      </c>
      <c r="B65" s="286" t="str">
        <f>'DADOS BÁSICOS 2º ANO'!$J$7</f>
        <v>Auxílio Saúde</v>
      </c>
      <c r="C65" s="286"/>
      <c r="D65" s="286"/>
      <c r="E65" s="286"/>
      <c r="F65" s="286"/>
      <c r="G65" s="286"/>
      <c r="H65" s="102"/>
      <c r="I65" s="57">
        <f>'DADOS BÁSICOS 2º ANO'!$J$8</f>
        <v>64</v>
      </c>
    </row>
    <row r="66" spans="1:23" ht="15" customHeight="1">
      <c r="A66" s="69" t="s">
        <v>64</v>
      </c>
      <c r="B66" s="286" t="str">
        <f>'DADOS BÁSICOS 2º ANO'!$K$7</f>
        <v>Benefício Familiar</v>
      </c>
      <c r="C66" s="286"/>
      <c r="D66" s="286"/>
      <c r="E66" s="286"/>
      <c r="F66" s="286"/>
      <c r="G66" s="286"/>
      <c r="H66" s="103"/>
      <c r="I66" s="104">
        <f>'DADOS BÁSICOS 2º ANO'!$K$8</f>
        <v>21</v>
      </c>
    </row>
    <row r="67" spans="1:23" ht="18" customHeight="1">
      <c r="A67" s="69" t="s">
        <v>66</v>
      </c>
      <c r="B67" s="286" t="str">
        <f>'DADOS BÁSICOS 2º ANO'!$L$7</f>
        <v>Fundo de Fomação Profissional</v>
      </c>
      <c r="C67" s="286"/>
      <c r="D67" s="286"/>
      <c r="E67" s="286"/>
      <c r="F67" s="286"/>
      <c r="G67" s="286"/>
      <c r="H67" s="102"/>
      <c r="I67" s="104">
        <f>'DADOS BÁSICOS 2º ANO'!$L$8</f>
        <v>21</v>
      </c>
    </row>
    <row r="68" spans="1:23" ht="18" customHeight="1">
      <c r="A68" s="72" t="s">
        <v>84</v>
      </c>
      <c r="B68" s="312" t="s">
        <v>200</v>
      </c>
      <c r="C68" s="312"/>
      <c r="D68" s="312"/>
      <c r="E68" s="312"/>
      <c r="F68" s="312"/>
      <c r="G68" s="312"/>
      <c r="H68" s="105">
        <f>1/12</f>
        <v>8.3299999999999999E-2</v>
      </c>
      <c r="I68" s="107">
        <f>I61*H68</f>
        <v>29.99</v>
      </c>
    </row>
    <row r="69" spans="1:23" ht="18" customHeight="1">
      <c r="A69" s="72" t="s">
        <v>268</v>
      </c>
      <c r="B69" s="312" t="s">
        <v>269</v>
      </c>
      <c r="C69" s="312"/>
      <c r="D69" s="312"/>
      <c r="E69" s="312"/>
      <c r="F69" s="312"/>
      <c r="G69" s="312"/>
      <c r="H69" s="105">
        <f>(1/11)/12</f>
        <v>7.6E-3</v>
      </c>
      <c r="I69" s="107">
        <f>I61*H69</f>
        <v>2.74</v>
      </c>
    </row>
    <row r="70" spans="1:23" ht="18" customHeight="1">
      <c r="A70" s="108" t="s">
        <v>110</v>
      </c>
      <c r="B70" s="297" t="s">
        <v>201</v>
      </c>
      <c r="C70" s="297"/>
      <c r="D70" s="297"/>
      <c r="E70" s="297"/>
      <c r="F70" s="297"/>
      <c r="G70" s="297"/>
      <c r="H70" s="109">
        <f>((H11/11)/12)/H11</f>
        <v>7.6E-3</v>
      </c>
      <c r="I70" s="225">
        <f>I61*H70</f>
        <v>2.74</v>
      </c>
    </row>
    <row r="71" spans="1:23" ht="18" customHeight="1">
      <c r="A71" s="76" t="s">
        <v>111</v>
      </c>
      <c r="B71" s="310" t="s">
        <v>202</v>
      </c>
      <c r="C71" s="310"/>
      <c r="D71" s="310"/>
      <c r="E71" s="310"/>
      <c r="F71" s="310"/>
      <c r="G71" s="310"/>
      <c r="H71" s="111">
        <f>(H$11/11)/H$11</f>
        <v>9.0899999999999995E-2</v>
      </c>
      <c r="I71" s="226">
        <f>I65*H71</f>
        <v>5.82</v>
      </c>
    </row>
    <row r="72" spans="1:23" ht="18" customHeight="1">
      <c r="A72" s="76" t="s">
        <v>198</v>
      </c>
      <c r="B72" s="310" t="s">
        <v>203</v>
      </c>
      <c r="C72" s="310"/>
      <c r="D72" s="310"/>
      <c r="E72" s="310"/>
      <c r="F72" s="310"/>
      <c r="G72" s="310"/>
      <c r="H72" s="111">
        <f t="shared" ref="H72:H73" si="2">(H$11/11)/H$11</f>
        <v>9.0899999999999995E-2</v>
      </c>
      <c r="I72" s="226">
        <f>I66*H72</f>
        <v>1.91</v>
      </c>
    </row>
    <row r="73" spans="1:23" ht="19.5" customHeight="1">
      <c r="A73" s="76" t="s">
        <v>199</v>
      </c>
      <c r="B73" s="310" t="s">
        <v>204</v>
      </c>
      <c r="C73" s="310"/>
      <c r="D73" s="310"/>
      <c r="E73" s="310"/>
      <c r="F73" s="310"/>
      <c r="G73" s="310"/>
      <c r="H73" s="111">
        <f t="shared" si="2"/>
        <v>9.0899999999999995E-2</v>
      </c>
      <c r="I73" s="226">
        <f>I67*H73</f>
        <v>1.91</v>
      </c>
    </row>
    <row r="74" spans="1:23" ht="30.75" customHeight="1">
      <c r="A74" s="287" t="s">
        <v>85</v>
      </c>
      <c r="B74" s="287"/>
      <c r="C74" s="287"/>
      <c r="D74" s="287"/>
      <c r="E74" s="287"/>
      <c r="F74" s="287"/>
      <c r="G74" s="287"/>
      <c r="H74" s="113"/>
      <c r="I74" s="80">
        <f>SUM(I57:I73)</f>
        <v>626.38</v>
      </c>
    </row>
    <row r="75" spans="1:23" ht="20.25" customHeight="1">
      <c r="A75" s="37" t="s">
        <v>120</v>
      </c>
      <c r="B75" s="63"/>
      <c r="C75" s="63"/>
      <c r="D75" s="63"/>
      <c r="E75" s="63"/>
      <c r="F75" s="63"/>
      <c r="G75" s="63"/>
      <c r="H75" s="64"/>
      <c r="I75" s="65"/>
    </row>
    <row r="76" spans="1:23" ht="12.75" customHeight="1">
      <c r="A76" s="114">
        <v>2</v>
      </c>
      <c r="B76" s="311" t="s">
        <v>121</v>
      </c>
      <c r="C76" s="311"/>
      <c r="D76" s="311"/>
      <c r="E76" s="311"/>
      <c r="F76" s="311"/>
      <c r="G76" s="311"/>
      <c r="H76" s="115"/>
      <c r="I76" s="116" t="s">
        <v>79</v>
      </c>
    </row>
    <row r="77" spans="1:23" ht="12.75" customHeight="1">
      <c r="A77" s="69" t="s">
        <v>87</v>
      </c>
      <c r="B77" s="286" t="s">
        <v>88</v>
      </c>
      <c r="C77" s="286"/>
      <c r="D77" s="286"/>
      <c r="E77" s="286"/>
      <c r="F77" s="286"/>
      <c r="G77" s="286"/>
      <c r="H77" s="48"/>
      <c r="I77" s="71">
        <f>I40</f>
        <v>396.89</v>
      </c>
    </row>
    <row r="78" spans="1:23" ht="12.75" customHeight="1">
      <c r="A78" s="69" t="s">
        <v>106</v>
      </c>
      <c r="B78" s="286" t="s">
        <v>107</v>
      </c>
      <c r="C78" s="286"/>
      <c r="D78" s="286"/>
      <c r="E78" s="286"/>
      <c r="F78" s="286"/>
      <c r="G78" s="286"/>
      <c r="H78" s="48"/>
      <c r="I78" s="71">
        <f>I54</f>
        <v>810.85</v>
      </c>
    </row>
    <row r="79" spans="1:23">
      <c r="A79" s="69" t="s">
        <v>113</v>
      </c>
      <c r="B79" s="286" t="s">
        <v>114</v>
      </c>
      <c r="C79" s="286"/>
      <c r="D79" s="286"/>
      <c r="E79" s="286"/>
      <c r="F79" s="286"/>
      <c r="G79" s="286"/>
      <c r="H79" s="48"/>
      <c r="I79" s="71">
        <f>I74</f>
        <v>626.38</v>
      </c>
      <c r="W79" s="272">
        <f>4.18/46</f>
        <v>9.0899999999999995E-2</v>
      </c>
    </row>
    <row r="80" spans="1:23" ht="26.25" customHeight="1">
      <c r="A80" s="304" t="s">
        <v>85</v>
      </c>
      <c r="B80" s="304"/>
      <c r="C80" s="304"/>
      <c r="D80" s="304"/>
      <c r="E80" s="304"/>
      <c r="F80" s="304"/>
      <c r="G80" s="304"/>
      <c r="H80" s="117"/>
      <c r="I80" s="82">
        <f>SUM(I77:I79)</f>
        <v>1834.12</v>
      </c>
    </row>
    <row r="81" spans="1:9" ht="26.25" customHeight="1">
      <c r="A81" s="37" t="s">
        <v>122</v>
      </c>
      <c r="B81" s="118"/>
      <c r="C81" s="118"/>
      <c r="D81" s="118"/>
      <c r="E81" s="118"/>
      <c r="F81" s="118"/>
      <c r="G81" s="118"/>
      <c r="H81" s="64"/>
      <c r="I81" s="65"/>
    </row>
    <row r="82" spans="1:9" ht="16.5" customHeight="1">
      <c r="A82" s="119">
        <v>3</v>
      </c>
      <c r="B82" s="305" t="s">
        <v>123</v>
      </c>
      <c r="C82" s="305"/>
      <c r="D82" s="305"/>
      <c r="E82" s="305"/>
      <c r="F82" s="305"/>
      <c r="G82" s="305"/>
      <c r="H82" s="120" t="s">
        <v>89</v>
      </c>
      <c r="I82" s="47" t="s">
        <v>79</v>
      </c>
    </row>
    <row r="83" spans="1:9">
      <c r="A83" s="121" t="s">
        <v>58</v>
      </c>
      <c r="B83" s="306" t="s">
        <v>124</v>
      </c>
      <c r="C83" s="307"/>
      <c r="D83" s="307"/>
      <c r="E83" s="307"/>
      <c r="F83" s="307"/>
      <c r="G83" s="308"/>
      <c r="H83" s="122">
        <f>((100%/12)*'DADOS BÁSICOS 2º ANO'!$Q8)/10</f>
        <v>2.8E-3</v>
      </c>
      <c r="I83" s="123">
        <f>H83*I$43</f>
        <v>6.17</v>
      </c>
    </row>
    <row r="84" spans="1:9" ht="12.75" customHeight="1">
      <c r="A84" s="69" t="s">
        <v>60</v>
      </c>
      <c r="B84" s="294" t="s">
        <v>125</v>
      </c>
      <c r="C84" s="294"/>
      <c r="D84" s="294"/>
      <c r="E84" s="294"/>
      <c r="F84" s="294"/>
      <c r="G84" s="294"/>
      <c r="H84" s="124">
        <v>0.08</v>
      </c>
      <c r="I84" s="125">
        <f>I83*H84</f>
        <v>0.49</v>
      </c>
    </row>
    <row r="85" spans="1:9" ht="17.25" customHeight="1">
      <c r="A85" s="126" t="s">
        <v>62</v>
      </c>
      <c r="B85" s="302" t="s">
        <v>126</v>
      </c>
      <c r="C85" s="303"/>
      <c r="D85" s="303"/>
      <c r="E85" s="303"/>
      <c r="F85" s="303"/>
      <c r="G85" s="284"/>
      <c r="H85" s="127">
        <f>8%*40%*'DADOS BÁSICOS 2º ANO'!$Q8</f>
        <v>1.0800000000000001E-2</v>
      </c>
      <c r="I85" s="125">
        <f>I$43*H85</f>
        <v>23.8</v>
      </c>
    </row>
    <row r="86" spans="1:9">
      <c r="A86" s="128" t="s">
        <v>64</v>
      </c>
      <c r="B86" s="309" t="s">
        <v>127</v>
      </c>
      <c r="C86" s="309"/>
      <c r="D86" s="309"/>
      <c r="E86" s="309"/>
      <c r="F86" s="309"/>
      <c r="G86" s="309"/>
      <c r="H86" s="247">
        <f>((7/30)/12)/10</f>
        <v>1.944E-3</v>
      </c>
      <c r="I86" s="248">
        <f>H86*I$43</f>
        <v>4.28</v>
      </c>
    </row>
    <row r="87" spans="1:9" ht="12.75" customHeight="1">
      <c r="A87" s="69" t="s">
        <v>66</v>
      </c>
      <c r="B87" s="294" t="s">
        <v>128</v>
      </c>
      <c r="C87" s="294"/>
      <c r="D87" s="294"/>
      <c r="E87" s="294"/>
      <c r="F87" s="294"/>
      <c r="G87" s="294"/>
      <c r="H87" s="124">
        <f>H54</f>
        <v>0.36799999999999999</v>
      </c>
      <c r="I87" s="131">
        <f>H87*I86</f>
        <v>1.58</v>
      </c>
    </row>
    <row r="88" spans="1:9">
      <c r="A88" s="126" t="s">
        <v>84</v>
      </c>
      <c r="B88" s="302" t="s">
        <v>129</v>
      </c>
      <c r="C88" s="303"/>
      <c r="D88" s="303"/>
      <c r="E88" s="303"/>
      <c r="F88" s="303"/>
      <c r="G88" s="284"/>
      <c r="H88" s="127">
        <f>8%*40%*'DADOS BÁSICOS 2º ANO'!$R8</f>
        <v>1.0800000000000001E-2</v>
      </c>
      <c r="I88" s="125">
        <f>I43*H88</f>
        <v>23.8</v>
      </c>
    </row>
    <row r="89" spans="1:9">
      <c r="A89" s="287" t="s">
        <v>85</v>
      </c>
      <c r="B89" s="287"/>
      <c r="C89" s="287"/>
      <c r="D89" s="287"/>
      <c r="E89" s="287"/>
      <c r="F89" s="287"/>
      <c r="G89" s="287"/>
      <c r="H89" s="113"/>
      <c r="I89" s="80">
        <f>SUM(I83:I88)</f>
        <v>60.12</v>
      </c>
    </row>
    <row r="90" spans="1:9">
      <c r="A90" s="304" t="s">
        <v>130</v>
      </c>
      <c r="B90" s="304"/>
      <c r="C90" s="304"/>
      <c r="D90" s="304"/>
      <c r="E90" s="304"/>
      <c r="F90" s="304"/>
      <c r="G90" s="304"/>
      <c r="H90" s="132" t="s">
        <v>93</v>
      </c>
      <c r="I90" s="133">
        <f>I29</f>
        <v>1806.53</v>
      </c>
    </row>
    <row r="91" spans="1:9">
      <c r="A91" s="304"/>
      <c r="B91" s="304"/>
      <c r="C91" s="304"/>
      <c r="D91" s="304"/>
      <c r="E91" s="304"/>
      <c r="F91" s="304"/>
      <c r="G91" s="304"/>
      <c r="H91" s="132" t="s">
        <v>94</v>
      </c>
      <c r="I91" s="133">
        <f>I80</f>
        <v>1834.12</v>
      </c>
    </row>
    <row r="92" spans="1:9">
      <c r="A92" s="304"/>
      <c r="B92" s="304"/>
      <c r="C92" s="304"/>
      <c r="D92" s="304"/>
      <c r="E92" s="304"/>
      <c r="F92" s="304"/>
      <c r="G92" s="304"/>
      <c r="H92" s="132" t="s">
        <v>95</v>
      </c>
      <c r="I92" s="133">
        <f>I89</f>
        <v>60.12</v>
      </c>
    </row>
    <row r="93" spans="1:9" ht="26.25" customHeight="1">
      <c r="A93" s="304"/>
      <c r="B93" s="304"/>
      <c r="C93" s="304"/>
      <c r="D93" s="304"/>
      <c r="E93" s="304"/>
      <c r="F93" s="304"/>
      <c r="G93" s="304"/>
      <c r="H93" s="132" t="s">
        <v>85</v>
      </c>
      <c r="I93" s="133">
        <f>SUM(I90:I92)</f>
        <v>3700.77</v>
      </c>
    </row>
    <row r="94" spans="1:9" s="137" customFormat="1" ht="63.75" customHeight="1">
      <c r="A94" s="37" t="s">
        <v>131</v>
      </c>
      <c r="B94" s="134"/>
      <c r="C94" s="134"/>
      <c r="D94" s="134"/>
      <c r="E94" s="134"/>
      <c r="F94" s="134"/>
      <c r="G94" s="134"/>
      <c r="H94" s="135"/>
      <c r="I94" s="136"/>
    </row>
    <row r="95" spans="1:9" ht="16.5" customHeight="1">
      <c r="A95" s="138" t="s">
        <v>132</v>
      </c>
      <c r="B95" s="63" t="s">
        <v>133</v>
      </c>
      <c r="C95" s="63"/>
      <c r="D95" s="63"/>
      <c r="E95" s="63"/>
      <c r="F95" s="63"/>
      <c r="G95" s="63"/>
      <c r="H95" s="67" t="s">
        <v>134</v>
      </c>
      <c r="I95" s="68" t="s">
        <v>79</v>
      </c>
    </row>
    <row r="96" spans="1:9" ht="16.5" customHeight="1">
      <c r="A96" s="69" t="s">
        <v>58</v>
      </c>
      <c r="B96" s="301" t="s">
        <v>135</v>
      </c>
      <c r="C96" s="301"/>
      <c r="D96" s="301"/>
      <c r="E96" s="301"/>
      <c r="F96" s="301"/>
      <c r="G96" s="301"/>
      <c r="H96" s="139">
        <f>'DADOS BÁSICOS 2º ANO'!$H$59</f>
        <v>4.8734000000000002</v>
      </c>
      <c r="I96" s="71">
        <f>SUM(I97:I104)</f>
        <v>50.1</v>
      </c>
    </row>
    <row r="97" spans="1:9" ht="16.5" customHeight="1">
      <c r="A97" s="140" t="s">
        <v>219</v>
      </c>
      <c r="B97" s="300" t="s">
        <v>211</v>
      </c>
      <c r="C97" s="300"/>
      <c r="D97" s="300"/>
      <c r="E97" s="300"/>
      <c r="F97" s="300"/>
      <c r="G97" s="300"/>
      <c r="H97" s="139">
        <f>'DADOS BÁSICOS 2º ANO'!$H$60</f>
        <v>1</v>
      </c>
      <c r="I97" s="141">
        <f>((I$93/30)*H97)/H$10</f>
        <v>10.28</v>
      </c>
    </row>
    <row r="98" spans="1:9" ht="16.5" customHeight="1">
      <c r="A98" s="140" t="s">
        <v>221</v>
      </c>
      <c r="B98" s="300" t="s">
        <v>212</v>
      </c>
      <c r="C98" s="300"/>
      <c r="D98" s="300"/>
      <c r="E98" s="300"/>
      <c r="F98" s="300"/>
      <c r="G98" s="300"/>
      <c r="H98" s="139">
        <f>'DADOS BÁSICOS 2º ANO'!$H$61</f>
        <v>3.4929999999999999</v>
      </c>
      <c r="I98" s="141">
        <f>((I$93/30)*H98)/H$10</f>
        <v>35.909999999999997</v>
      </c>
    </row>
    <row r="99" spans="1:9" ht="16.5" customHeight="1">
      <c r="A99" s="140" t="s">
        <v>222</v>
      </c>
      <c r="B99" s="300" t="s">
        <v>213</v>
      </c>
      <c r="C99" s="300"/>
      <c r="D99" s="300"/>
      <c r="E99" s="300"/>
      <c r="F99" s="300"/>
      <c r="G99" s="300"/>
      <c r="H99" s="139">
        <f>'DADOS BÁSICOS 2º ANO'!$H$62</f>
        <v>0.26879999999999998</v>
      </c>
      <c r="I99" s="141">
        <f t="shared" ref="I99:I108" si="3">(I$93/30)*(H99/H$10)</f>
        <v>2.76</v>
      </c>
    </row>
    <row r="100" spans="1:9" ht="16.5" customHeight="1">
      <c r="A100" s="140" t="s">
        <v>228</v>
      </c>
      <c r="B100" s="300" t="s">
        <v>214</v>
      </c>
      <c r="C100" s="300"/>
      <c r="D100" s="300"/>
      <c r="E100" s="300"/>
      <c r="F100" s="300"/>
      <c r="G100" s="300"/>
      <c r="H100" s="139">
        <f>'DADOS BÁSICOS 2º ANO'!$H$63</f>
        <v>4.2599999999999999E-2</v>
      </c>
      <c r="I100" s="141">
        <f t="shared" si="3"/>
        <v>0.44</v>
      </c>
    </row>
    <row r="101" spans="1:9" ht="16.5" customHeight="1">
      <c r="A101" s="140" t="s">
        <v>229</v>
      </c>
      <c r="B101" s="300" t="s">
        <v>215</v>
      </c>
      <c r="C101" s="300"/>
      <c r="D101" s="300"/>
      <c r="E101" s="300"/>
      <c r="F101" s="300"/>
      <c r="G101" s="300"/>
      <c r="H101" s="139">
        <f>'DADOS BÁSICOS 2º ANO'!$H$64</f>
        <v>3.5400000000000001E-2</v>
      </c>
      <c r="I101" s="141">
        <f t="shared" si="3"/>
        <v>0.36</v>
      </c>
    </row>
    <row r="102" spans="1:9" ht="16.5" customHeight="1">
      <c r="A102" s="140" t="s">
        <v>230</v>
      </c>
      <c r="B102" s="300" t="s">
        <v>216</v>
      </c>
      <c r="C102" s="300"/>
      <c r="D102" s="300"/>
      <c r="E102" s="300"/>
      <c r="F102" s="300"/>
      <c r="G102" s="300"/>
      <c r="H102" s="139">
        <f>'DADOS BÁSICOS 2º ANO'!$H$65</f>
        <v>0.02</v>
      </c>
      <c r="I102" s="141">
        <f t="shared" si="3"/>
        <v>0.21</v>
      </c>
    </row>
    <row r="103" spans="1:9" ht="16.5" customHeight="1">
      <c r="A103" s="140" t="s">
        <v>231</v>
      </c>
      <c r="B103" s="300" t="s">
        <v>217</v>
      </c>
      <c r="C103" s="300"/>
      <c r="D103" s="300"/>
      <c r="E103" s="300"/>
      <c r="F103" s="300"/>
      <c r="G103" s="300"/>
      <c r="H103" s="139">
        <f>'DADOS BÁSICOS 2º ANO'!$H$66</f>
        <v>4.0000000000000001E-3</v>
      </c>
      <c r="I103" s="141">
        <f t="shared" si="3"/>
        <v>0.04</v>
      </c>
    </row>
    <row r="104" spans="1:9" ht="16.5" customHeight="1">
      <c r="A104" s="140" t="s">
        <v>232</v>
      </c>
      <c r="B104" s="300" t="s">
        <v>218</v>
      </c>
      <c r="C104" s="300"/>
      <c r="D104" s="300"/>
      <c r="E104" s="300"/>
      <c r="F104" s="300"/>
      <c r="G104" s="300"/>
      <c r="H104" s="139">
        <f>'DADOS BÁSICOS 2º ANO'!$H$67</f>
        <v>9.5999999999999992E-3</v>
      </c>
      <c r="I104" s="141">
        <f t="shared" si="3"/>
        <v>0.1</v>
      </c>
    </row>
    <row r="105" spans="1:9" ht="16.5" customHeight="1">
      <c r="A105" s="69" t="s">
        <v>60</v>
      </c>
      <c r="B105" s="301" t="s">
        <v>136</v>
      </c>
      <c r="C105" s="301"/>
      <c r="D105" s="301"/>
      <c r="E105" s="301"/>
      <c r="F105" s="301"/>
      <c r="G105" s="301"/>
      <c r="H105" s="139">
        <f>'DADOS BÁSICOS 2º ANO'!$H$68</f>
        <v>0.19980000000000001</v>
      </c>
      <c r="I105" s="71">
        <f t="shared" si="3"/>
        <v>2.0499999999999998</v>
      </c>
    </row>
    <row r="106" spans="1:9" ht="16.5" customHeight="1">
      <c r="A106" s="69" t="s">
        <v>62</v>
      </c>
      <c r="B106" s="301" t="s">
        <v>137</v>
      </c>
      <c r="C106" s="301"/>
      <c r="D106" s="301"/>
      <c r="E106" s="301"/>
      <c r="F106" s="301"/>
      <c r="G106" s="301"/>
      <c r="H106" s="139">
        <f>'DADOS BÁSICOS 2º ANO'!$H$69</f>
        <v>0.96619999999999995</v>
      </c>
      <c r="I106" s="71">
        <f t="shared" si="3"/>
        <v>9.93</v>
      </c>
    </row>
    <row r="107" spans="1:9" ht="16.5" customHeight="1">
      <c r="A107" s="69" t="s">
        <v>64</v>
      </c>
      <c r="B107" s="301" t="s">
        <v>138</v>
      </c>
      <c r="C107" s="301"/>
      <c r="D107" s="301"/>
      <c r="E107" s="301"/>
      <c r="F107" s="301"/>
      <c r="G107" s="301"/>
      <c r="H107" s="139">
        <f>'DADOS BÁSICOS 2º ANO'!$H$70</f>
        <v>2.4771999999999998</v>
      </c>
      <c r="I107" s="71">
        <f t="shared" si="3"/>
        <v>25.47</v>
      </c>
    </row>
    <row r="108" spans="1:9">
      <c r="A108" s="41" t="s">
        <v>66</v>
      </c>
      <c r="B108" s="301" t="s">
        <v>139</v>
      </c>
      <c r="C108" s="301"/>
      <c r="D108" s="301"/>
      <c r="E108" s="301"/>
      <c r="F108" s="301"/>
      <c r="G108" s="301"/>
      <c r="H108" s="139">
        <f>'DADOS BÁSICOS 2º ANO'!$H$71</f>
        <v>0</v>
      </c>
      <c r="I108" s="71">
        <f t="shared" si="3"/>
        <v>0</v>
      </c>
    </row>
    <row r="109" spans="1:9">
      <c r="A109" s="287" t="s">
        <v>85</v>
      </c>
      <c r="B109" s="287"/>
      <c r="C109" s="287"/>
      <c r="D109" s="287"/>
      <c r="E109" s="287"/>
      <c r="F109" s="287"/>
      <c r="G109" s="287"/>
      <c r="H109" s="142">
        <f>H96+H105+H106+H107+H108</f>
        <v>8.5166000000000004</v>
      </c>
      <c r="I109" s="80">
        <f>I96+I105+I106+I107+I108</f>
        <v>87.55</v>
      </c>
    </row>
    <row r="110" spans="1:9" ht="16.5" customHeight="1">
      <c r="A110" s="143" t="s">
        <v>140</v>
      </c>
      <c r="B110" s="290" t="s">
        <v>141</v>
      </c>
      <c r="C110" s="290"/>
      <c r="D110" s="290"/>
      <c r="E110" s="290"/>
      <c r="F110" s="290"/>
      <c r="G110" s="290"/>
      <c r="H110" s="144"/>
      <c r="I110" s="145" t="s">
        <v>79</v>
      </c>
    </row>
    <row r="111" spans="1:9">
      <c r="A111" s="69" t="s">
        <v>58</v>
      </c>
      <c r="B111" s="286" t="s">
        <v>142</v>
      </c>
      <c r="C111" s="286"/>
      <c r="D111" s="286"/>
      <c r="E111" s="286"/>
      <c r="F111" s="286"/>
      <c r="G111" s="286"/>
      <c r="H111" s="48"/>
      <c r="I111" s="146">
        <v>0</v>
      </c>
    </row>
    <row r="112" spans="1:9" ht="21.75" customHeight="1">
      <c r="A112" s="287" t="s">
        <v>85</v>
      </c>
      <c r="B112" s="287"/>
      <c r="C112" s="287"/>
      <c r="D112" s="287"/>
      <c r="E112" s="287"/>
      <c r="F112" s="287"/>
      <c r="G112" s="287"/>
      <c r="H112" s="113"/>
      <c r="I112" s="147">
        <f>SUM(I111:I111)</f>
        <v>0</v>
      </c>
    </row>
    <row r="113" spans="1:21" ht="12.75" customHeight="1">
      <c r="A113" s="37" t="s">
        <v>143</v>
      </c>
      <c r="B113" s="63"/>
      <c r="C113" s="63"/>
      <c r="D113" s="63"/>
      <c r="E113" s="63"/>
      <c r="F113" s="63"/>
      <c r="G113" s="63"/>
      <c r="H113" s="64"/>
      <c r="I113" s="65"/>
    </row>
    <row r="114" spans="1:21" ht="12.75" customHeight="1">
      <c r="A114" s="66">
        <v>4</v>
      </c>
      <c r="B114" s="288" t="s">
        <v>144</v>
      </c>
      <c r="C114" s="288"/>
      <c r="D114" s="288"/>
      <c r="E114" s="288"/>
      <c r="F114" s="288"/>
      <c r="G114" s="288"/>
      <c r="H114" s="148"/>
      <c r="I114" s="68" t="s">
        <v>79</v>
      </c>
    </row>
    <row r="115" spans="1:21" ht="12.75" customHeight="1">
      <c r="A115" s="85" t="s">
        <v>132</v>
      </c>
      <c r="B115" s="284" t="s">
        <v>133</v>
      </c>
      <c r="C115" s="284"/>
      <c r="D115" s="284"/>
      <c r="E115" s="284"/>
      <c r="F115" s="284"/>
      <c r="G115" s="284"/>
      <c r="H115" s="149"/>
      <c r="I115" s="71">
        <f>I109</f>
        <v>87.55</v>
      </c>
    </row>
    <row r="116" spans="1:21">
      <c r="A116" s="85" t="s">
        <v>140</v>
      </c>
      <c r="B116" s="299" t="s">
        <v>145</v>
      </c>
      <c r="C116" s="299"/>
      <c r="D116" s="299"/>
      <c r="E116" s="299"/>
      <c r="F116" s="299"/>
      <c r="G116" s="299"/>
      <c r="H116" s="150"/>
      <c r="I116" s="71">
        <f>I112</f>
        <v>0</v>
      </c>
    </row>
    <row r="117" spans="1:21" ht="18.75" customHeight="1">
      <c r="A117" s="298" t="s">
        <v>85</v>
      </c>
      <c r="B117" s="298"/>
      <c r="C117" s="298"/>
      <c r="D117" s="298"/>
      <c r="E117" s="298"/>
      <c r="F117" s="298"/>
      <c r="G117" s="298"/>
      <c r="H117" s="151"/>
      <c r="I117" s="80">
        <f>SUM(I115:I116)</f>
        <v>87.55</v>
      </c>
    </row>
    <row r="118" spans="1:21" ht="12.75" customHeight="1">
      <c r="A118" s="37" t="s">
        <v>146</v>
      </c>
      <c r="B118" s="38"/>
      <c r="C118" s="38"/>
      <c r="D118" s="38"/>
      <c r="E118" s="38"/>
      <c r="F118" s="38"/>
      <c r="G118" s="38"/>
      <c r="H118" s="39"/>
      <c r="I118" s="40"/>
    </row>
    <row r="119" spans="1:21" ht="15" customHeight="1">
      <c r="A119" s="66">
        <v>5</v>
      </c>
      <c r="B119" s="288" t="s">
        <v>147</v>
      </c>
      <c r="C119" s="288"/>
      <c r="D119" s="288"/>
      <c r="E119" s="288"/>
      <c r="F119" s="288"/>
      <c r="G119" s="288"/>
      <c r="H119" s="148"/>
      <c r="I119" s="68" t="s">
        <v>79</v>
      </c>
      <c r="J119" s="153"/>
    </row>
    <row r="120" spans="1:21" ht="15" customHeight="1">
      <c r="A120" s="154" t="s">
        <v>58</v>
      </c>
      <c r="B120" s="295" t="s">
        <v>40</v>
      </c>
      <c r="C120" s="295"/>
      <c r="D120" s="295"/>
      <c r="E120" s="295"/>
      <c r="F120" s="295"/>
      <c r="G120" s="295"/>
      <c r="H120" s="149"/>
      <c r="I120" s="71">
        <f>SUM(I121:I123)</f>
        <v>41.03</v>
      </c>
      <c r="J120" s="153"/>
    </row>
    <row r="121" spans="1:21" ht="15" customHeight="1">
      <c r="A121" s="155" t="s">
        <v>219</v>
      </c>
      <c r="B121" s="286" t="s">
        <v>220</v>
      </c>
      <c r="C121" s="286"/>
      <c r="D121" s="286"/>
      <c r="E121" s="286"/>
      <c r="F121" s="286"/>
      <c r="G121" s="286"/>
      <c r="H121" s="149"/>
      <c r="I121" s="71">
        <f>'DADOS BÁSICOS 2º ANO'!$D$46</f>
        <v>35.61</v>
      </c>
      <c r="J121" s="153"/>
    </row>
    <row r="122" spans="1:21" ht="15" customHeight="1">
      <c r="A122" s="158" t="s">
        <v>221</v>
      </c>
      <c r="B122" s="296" t="s">
        <v>223</v>
      </c>
      <c r="C122" s="296"/>
      <c r="D122" s="296"/>
      <c r="E122" s="296"/>
      <c r="F122" s="296"/>
      <c r="G122" s="296"/>
      <c r="H122" s="159">
        <f>(ROUNDUP(((H109*H11)/(365*0.6986)),0))/H11</f>
        <v>4.3499999999999997E-2</v>
      </c>
      <c r="I122" s="249">
        <f>ROUNDUP(('DADOS BÁSICOS 2º ANO'!$D$46*H122),2)</f>
        <v>1.55</v>
      </c>
      <c r="J122" s="153"/>
    </row>
    <row r="123" spans="1:21" ht="12.75" customHeight="1">
      <c r="A123" s="108" t="s">
        <v>222</v>
      </c>
      <c r="B123" s="297" t="s">
        <v>209</v>
      </c>
      <c r="C123" s="297"/>
      <c r="D123" s="297"/>
      <c r="E123" s="297"/>
      <c r="F123" s="297"/>
      <c r="G123" s="297"/>
      <c r="H123" s="161">
        <f>((ROUNDUP((H11/11),0))/H11)</f>
        <v>0.1087</v>
      </c>
      <c r="I123" s="250">
        <f>'DADOS BÁSICOS 2º ANO'!$D$46*H123</f>
        <v>3.87</v>
      </c>
      <c r="J123" s="153"/>
    </row>
    <row r="124" spans="1:21" ht="16.5" customHeight="1">
      <c r="A124" s="154" t="s">
        <v>60</v>
      </c>
      <c r="B124" s="295" t="s">
        <v>44</v>
      </c>
      <c r="C124" s="295"/>
      <c r="D124" s="295"/>
      <c r="E124" s="295"/>
      <c r="F124" s="295"/>
      <c r="G124" s="295"/>
      <c r="H124" s="149"/>
      <c r="I124" s="163">
        <f>'DADOS BÁSICOS 2º ANO'!$D$50/'MEMÓRIA DE CÁLCULO REF 3º ANO'!H10</f>
        <v>0</v>
      </c>
      <c r="J124" s="164"/>
    </row>
    <row r="125" spans="1:21" ht="12.75" customHeight="1">
      <c r="A125" s="154" t="s">
        <v>62</v>
      </c>
      <c r="B125" s="295" t="s">
        <v>47</v>
      </c>
      <c r="C125" s="295"/>
      <c r="D125" s="295"/>
      <c r="E125" s="295"/>
      <c r="F125" s="295"/>
      <c r="G125" s="295"/>
      <c r="H125" s="149"/>
      <c r="I125" s="163">
        <f>SUM(I126:I128)</f>
        <v>0.24</v>
      </c>
      <c r="J125" s="164"/>
      <c r="U125" s="273"/>
    </row>
    <row r="126" spans="1:21" ht="12.75" customHeight="1">
      <c r="A126" s="69" t="s">
        <v>224</v>
      </c>
      <c r="B126" s="286" t="s">
        <v>226</v>
      </c>
      <c r="C126" s="286"/>
      <c r="D126" s="286"/>
      <c r="E126" s="286"/>
      <c r="F126" s="286"/>
      <c r="G126" s="286"/>
      <c r="H126" s="149"/>
      <c r="I126" s="163">
        <f>('DADOS BÁSICOS 2º ANO'!$G$54/'DADOS BÁSICOS 2º ANO'!$C$54)/('MEMÓRIA DE CÁLCULO REF 3º ANO'!$H$11+'TELEFONISTA 2º ANO'!$H$11)</f>
        <v>0.28999999999999998</v>
      </c>
      <c r="J126" s="164"/>
    </row>
    <row r="127" spans="1:21" ht="12.75" customHeight="1">
      <c r="A127" s="158" t="s">
        <v>225</v>
      </c>
      <c r="B127" s="296" t="s">
        <v>227</v>
      </c>
      <c r="C127" s="296"/>
      <c r="D127" s="296"/>
      <c r="E127" s="296"/>
      <c r="F127" s="296"/>
      <c r="G127" s="296"/>
      <c r="H127" s="159"/>
      <c r="I127" s="165">
        <f>(('DADOS BÁSICOS LICITAÇÃO'!$G$54/'DADOS BÁSICOS LICITAÇÃO'!$C$54)/($H$11+'TELEFONISTA 2º ANO'!$H$11+(ROUNDUP(((H109*H11)/(365*0.6986)),0)+(ROUNDUP((('TELEFONISTA 2º ANO'!H109*'TELEFONISTA 2º ANO'!H11)/(365*0.6986)),0))))-I126)</f>
        <v>-0.02</v>
      </c>
      <c r="J127" s="164"/>
    </row>
    <row r="128" spans="1:21">
      <c r="A128" s="108" t="s">
        <v>225</v>
      </c>
      <c r="B128" s="297" t="s">
        <v>210</v>
      </c>
      <c r="C128" s="297"/>
      <c r="D128" s="297"/>
      <c r="E128" s="297"/>
      <c r="F128" s="297"/>
      <c r="G128" s="297"/>
      <c r="H128" s="161"/>
      <c r="I128" s="251">
        <f>(('DADOS BÁSICOS 2º ANO'!$G$54/'DADOS BÁSICOS 2º ANO'!$C$54)/('RECEPÇÃO 2º ANO'!$H$11+'TELEFONISTA 2º ANO'!$H$11+ROUNDUP((H11/11),0)+ROUNDUP(('TELEFONISTA 2º ANO'!H11/11),0)))-I126</f>
        <v>-0.03</v>
      </c>
    </row>
    <row r="129" spans="1:9" ht="14.25" customHeight="1">
      <c r="A129" s="287" t="s">
        <v>85</v>
      </c>
      <c r="B129" s="287"/>
      <c r="C129" s="287"/>
      <c r="D129" s="287"/>
      <c r="E129" s="287"/>
      <c r="F129" s="287"/>
      <c r="G129" s="287"/>
      <c r="H129" s="113"/>
      <c r="I129" s="167">
        <f>I120+I124+I125</f>
        <v>41.27</v>
      </c>
    </row>
    <row r="130" spans="1:9">
      <c r="A130" s="289" t="s">
        <v>148</v>
      </c>
      <c r="B130" s="289"/>
      <c r="C130" s="289"/>
      <c r="D130" s="289"/>
      <c r="E130" s="289"/>
      <c r="F130" s="289"/>
      <c r="G130" s="289"/>
      <c r="H130" s="132" t="s">
        <v>93</v>
      </c>
      <c r="I130" s="168">
        <f>I29</f>
        <v>1806.53</v>
      </c>
    </row>
    <row r="131" spans="1:9">
      <c r="A131" s="289"/>
      <c r="B131" s="289"/>
      <c r="C131" s="289"/>
      <c r="D131" s="289"/>
      <c r="E131" s="289"/>
      <c r="F131" s="289"/>
      <c r="G131" s="289"/>
      <c r="H131" s="132" t="s">
        <v>94</v>
      </c>
      <c r="I131" s="168">
        <f>I80</f>
        <v>1834.12</v>
      </c>
    </row>
    <row r="132" spans="1:9">
      <c r="A132" s="289"/>
      <c r="B132" s="289"/>
      <c r="C132" s="289"/>
      <c r="D132" s="289"/>
      <c r="E132" s="289"/>
      <c r="F132" s="289"/>
      <c r="G132" s="289"/>
      <c r="H132" s="132" t="s">
        <v>95</v>
      </c>
      <c r="I132" s="168">
        <f>I89</f>
        <v>60.12</v>
      </c>
    </row>
    <row r="133" spans="1:9">
      <c r="A133" s="289"/>
      <c r="B133" s="289"/>
      <c r="C133" s="289"/>
      <c r="D133" s="289"/>
      <c r="E133" s="289"/>
      <c r="F133" s="289"/>
      <c r="G133" s="289"/>
      <c r="H133" s="132" t="s">
        <v>96</v>
      </c>
      <c r="I133" s="168">
        <f>I117</f>
        <v>87.55</v>
      </c>
    </row>
    <row r="134" spans="1:9">
      <c r="A134" s="289"/>
      <c r="B134" s="289"/>
      <c r="C134" s="289"/>
      <c r="D134" s="289"/>
      <c r="E134" s="289"/>
      <c r="F134" s="289"/>
      <c r="G134" s="289"/>
      <c r="H134" s="132" t="s">
        <v>97</v>
      </c>
      <c r="I134" s="82">
        <f>I129</f>
        <v>41.27</v>
      </c>
    </row>
    <row r="135" spans="1:9" ht="24" customHeight="1">
      <c r="A135" s="289"/>
      <c r="B135" s="289"/>
      <c r="C135" s="289"/>
      <c r="D135" s="289"/>
      <c r="E135" s="289"/>
      <c r="F135" s="289"/>
      <c r="G135" s="289"/>
      <c r="H135" s="132" t="s">
        <v>85</v>
      </c>
      <c r="I135" s="82">
        <f>SUM(I130:I134)</f>
        <v>3829.59</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2º ANO'!$S8</f>
        <v>0.05</v>
      </c>
      <c r="I138" s="71">
        <f>(H138*I135)</f>
        <v>191.48</v>
      </c>
    </row>
    <row r="139" spans="1:9">
      <c r="A139" s="69" t="s">
        <v>60</v>
      </c>
      <c r="B139" s="291" t="s">
        <v>152</v>
      </c>
      <c r="C139" s="292"/>
      <c r="D139" s="292"/>
      <c r="E139" s="292"/>
      <c r="F139" s="292"/>
      <c r="G139" s="293"/>
      <c r="H139" s="124">
        <f>'DADOS BÁSICOS 2º ANO'!$T8</f>
        <v>0.05</v>
      </c>
      <c r="I139" s="71">
        <f>H139*(I135+I138)</f>
        <v>201.05</v>
      </c>
    </row>
    <row r="140" spans="1:9" ht="12.75" customHeight="1">
      <c r="A140" s="69" t="s">
        <v>62</v>
      </c>
      <c r="B140" s="294" t="s">
        <v>153</v>
      </c>
      <c r="C140" s="294"/>
      <c r="D140" s="294"/>
      <c r="E140" s="294"/>
      <c r="F140" s="294"/>
      <c r="G140" s="294"/>
      <c r="H140" s="169">
        <f>SUM(H141+H142+H143)</f>
        <v>8.6499999999999994E-2</v>
      </c>
      <c r="I140" s="170">
        <f>SUM(I141:I143)</f>
        <v>399.8</v>
      </c>
    </row>
    <row r="141" spans="1:9" ht="12.75" customHeight="1">
      <c r="A141" s="154"/>
      <c r="B141" s="286" t="s">
        <v>154</v>
      </c>
      <c r="C141" s="286"/>
      <c r="D141" s="286"/>
      <c r="E141" s="286"/>
      <c r="F141" s="286"/>
      <c r="G141" s="286"/>
      <c r="H141" s="127">
        <f>IF('DADOS BÁSICOS 2º ANO'!$B$25="LUCRO PRESUMIDO",'DADOS BÁSICOS 2º ANO'!$B$28,'DADOS BÁSICOS 2º ANO'!$C$28)</f>
        <v>0.03</v>
      </c>
      <c r="I141" s="71">
        <f>SUM(H141*I154)</f>
        <v>138.66</v>
      </c>
    </row>
    <row r="142" spans="1:9" ht="12.75" customHeight="1">
      <c r="A142" s="154"/>
      <c r="B142" s="286" t="s">
        <v>155</v>
      </c>
      <c r="C142" s="286"/>
      <c r="D142" s="286"/>
      <c r="E142" s="286"/>
      <c r="F142" s="286"/>
      <c r="G142" s="286"/>
      <c r="H142" s="127">
        <f>IF('DADOS BÁSICOS 2º ANO'!$B$25="LUCRO PRESUMIDO",'DADOS BÁSICOS 2º ANO'!$B$27,'DADOS BÁSICOS 2º ANO'!$C$27)</f>
        <v>6.4999999999999997E-3</v>
      </c>
      <c r="I142" s="71">
        <f>SUM(H142*I154)</f>
        <v>30.04</v>
      </c>
    </row>
    <row r="143" spans="1:9">
      <c r="A143" s="154"/>
      <c r="B143" s="286" t="s">
        <v>156</v>
      </c>
      <c r="C143" s="286"/>
      <c r="D143" s="286"/>
      <c r="E143" s="286"/>
      <c r="F143" s="286"/>
      <c r="G143" s="286"/>
      <c r="H143" s="127">
        <f>'DADOS BÁSICOS 2º ANO'!U8</f>
        <v>0.05</v>
      </c>
      <c r="I143" s="71">
        <f>SUM(H143*I154)</f>
        <v>231.1</v>
      </c>
    </row>
    <row r="144" spans="1:9" ht="19.5" customHeight="1">
      <c r="A144" s="287" t="s">
        <v>85</v>
      </c>
      <c r="B144" s="287"/>
      <c r="C144" s="287"/>
      <c r="D144" s="287"/>
      <c r="E144" s="287"/>
      <c r="F144" s="287"/>
      <c r="G144" s="287"/>
      <c r="H144" s="171"/>
      <c r="I144" s="80">
        <f>SUM(I138+I139+I141+I142+I143)</f>
        <v>792.33</v>
      </c>
    </row>
    <row r="145" spans="1:9" ht="12.75" customHeight="1">
      <c r="A145" s="172" t="s">
        <v>157</v>
      </c>
      <c r="B145" s="173"/>
      <c r="C145" s="173"/>
      <c r="D145" s="173"/>
      <c r="E145" s="173"/>
      <c r="F145" s="173"/>
      <c r="G145" s="173"/>
      <c r="H145" s="174"/>
      <c r="I145" s="175"/>
    </row>
    <row r="146" spans="1:9" ht="12.75" customHeight="1">
      <c r="A146" s="288" t="s">
        <v>158</v>
      </c>
      <c r="B146" s="288"/>
      <c r="C146" s="288"/>
      <c r="D146" s="288"/>
      <c r="E146" s="288"/>
      <c r="F146" s="288"/>
      <c r="G146" s="288"/>
      <c r="H146" s="148"/>
      <c r="I146" s="84" t="s">
        <v>79</v>
      </c>
    </row>
    <row r="147" spans="1:9" ht="12.75" customHeight="1">
      <c r="A147" s="176" t="s">
        <v>58</v>
      </c>
      <c r="B147" s="284" t="s">
        <v>159</v>
      </c>
      <c r="C147" s="284"/>
      <c r="D147" s="284"/>
      <c r="E147" s="284"/>
      <c r="F147" s="284"/>
      <c r="G147" s="284"/>
      <c r="H147" s="48"/>
      <c r="I147" s="177">
        <f>I29</f>
        <v>1806.53</v>
      </c>
    </row>
    <row r="148" spans="1:9" ht="12.75" customHeight="1">
      <c r="A148" s="176" t="s">
        <v>60</v>
      </c>
      <c r="B148" s="284" t="s">
        <v>121</v>
      </c>
      <c r="C148" s="284"/>
      <c r="D148" s="284"/>
      <c r="E148" s="284"/>
      <c r="F148" s="284"/>
      <c r="G148" s="284"/>
      <c r="H148" s="178"/>
      <c r="I148" s="177">
        <f>I80</f>
        <v>1834.12</v>
      </c>
    </row>
    <row r="149" spans="1:9" ht="12.75" customHeight="1">
      <c r="A149" s="176" t="s">
        <v>62</v>
      </c>
      <c r="B149" s="284" t="s">
        <v>160</v>
      </c>
      <c r="C149" s="284"/>
      <c r="D149" s="284"/>
      <c r="E149" s="284"/>
      <c r="F149" s="284"/>
      <c r="G149" s="284"/>
      <c r="H149" s="178"/>
      <c r="I149" s="177">
        <f>I89</f>
        <v>60.12</v>
      </c>
    </row>
    <row r="150" spans="1:9" ht="12.75" customHeight="1">
      <c r="A150" s="176" t="s">
        <v>64</v>
      </c>
      <c r="B150" s="284" t="s">
        <v>144</v>
      </c>
      <c r="C150" s="284"/>
      <c r="D150" s="284"/>
      <c r="E150" s="284"/>
      <c r="F150" s="284"/>
      <c r="G150" s="284"/>
      <c r="H150" s="178"/>
      <c r="I150" s="177">
        <f>I117</f>
        <v>87.55</v>
      </c>
    </row>
    <row r="151" spans="1:9" ht="16.5" customHeight="1">
      <c r="A151" s="176" t="s">
        <v>66</v>
      </c>
      <c r="B151" s="284" t="s">
        <v>161</v>
      </c>
      <c r="C151" s="284"/>
      <c r="D151" s="284"/>
      <c r="E151" s="284"/>
      <c r="F151" s="284"/>
      <c r="G151" s="284"/>
      <c r="H151" s="178"/>
      <c r="I151" s="177">
        <f>I129</f>
        <v>41.27</v>
      </c>
    </row>
    <row r="152" spans="1:9" ht="12.75" customHeight="1">
      <c r="A152" s="285" t="s">
        <v>162</v>
      </c>
      <c r="B152" s="285"/>
      <c r="C152" s="285"/>
      <c r="D152" s="285"/>
      <c r="E152" s="285"/>
      <c r="F152" s="285"/>
      <c r="G152" s="285"/>
      <c r="H152" s="179"/>
      <c r="I152" s="180">
        <f>SUM(I147:I151)</f>
        <v>3829.59</v>
      </c>
    </row>
    <row r="153" spans="1:9" ht="16.5" customHeight="1">
      <c r="A153" s="181" t="s">
        <v>84</v>
      </c>
      <c r="B153" s="286" t="s">
        <v>163</v>
      </c>
      <c r="C153" s="286"/>
      <c r="D153" s="286"/>
      <c r="E153" s="286"/>
      <c r="F153" s="286"/>
      <c r="G153" s="286"/>
      <c r="H153" s="48"/>
      <c r="I153" s="182">
        <f>I144</f>
        <v>792.33</v>
      </c>
    </row>
    <row r="154" spans="1:9" ht="19.5" customHeight="1" thickBot="1">
      <c r="A154" s="285" t="s">
        <v>164</v>
      </c>
      <c r="B154" s="285"/>
      <c r="C154" s="285"/>
      <c r="D154" s="285"/>
      <c r="E154" s="285"/>
      <c r="F154" s="285"/>
      <c r="G154" s="285"/>
      <c r="H154" s="183"/>
      <c r="I154" s="184">
        <f>SUM(I152+I138+I139)/(1-H140)</f>
        <v>4621.92</v>
      </c>
    </row>
    <row r="155" spans="1:9">
      <c r="A155" s="172" t="s">
        <v>165</v>
      </c>
      <c r="B155" s="185"/>
      <c r="C155" s="185"/>
      <c r="D155" s="185"/>
      <c r="E155" s="185"/>
      <c r="F155" s="185"/>
      <c r="G155" s="185"/>
      <c r="H155" s="186" t="s">
        <v>166</v>
      </c>
      <c r="I155" s="185" t="s">
        <v>79</v>
      </c>
    </row>
    <row r="156" spans="1:9">
      <c r="A156" s="43" t="s">
        <v>198</v>
      </c>
      <c r="B156" s="283" t="s">
        <v>25</v>
      </c>
      <c r="C156" s="283"/>
      <c r="D156" s="283"/>
      <c r="E156" s="283"/>
      <c r="F156" s="283"/>
      <c r="G156" s="283"/>
      <c r="H156" s="187">
        <f>H11</f>
        <v>46</v>
      </c>
      <c r="I156" s="188">
        <f>H156*I154</f>
        <v>212608.32</v>
      </c>
    </row>
    <row r="157" spans="1:9">
      <c r="I157" s="35"/>
    </row>
    <row r="158" spans="1:9">
      <c r="I158" s="164"/>
    </row>
    <row r="159" spans="1:9">
      <c r="I159" s="164"/>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ionAIwXSi+XFlHSR07nwZP3jwjbgsJ9J1KsE3k40/7LowzXcO+WhfPnQ4w3rtC3I+gOPzK+vdgtBzI8KWyJHuw==" saltValue="wYw/e118SnCsx51y8hNbbg==" spinCount="100000" sheet="1" objects="1" scenarios="1"/>
  <mergeCells count="148">
    <mergeCell ref="A1:I1"/>
    <mergeCell ref="A2:I2"/>
    <mergeCell ref="A3:I3"/>
    <mergeCell ref="A4:I4"/>
    <mergeCell ref="A5:I5"/>
    <mergeCell ref="A6:I6"/>
    <mergeCell ref="B10:G10"/>
    <mergeCell ref="H10:I10"/>
    <mergeCell ref="B11:G11"/>
    <mergeCell ref="H11:I11"/>
    <mergeCell ref="B13:G13"/>
    <mergeCell ref="H13:I13"/>
    <mergeCell ref="B7:G7"/>
    <mergeCell ref="H7:I7"/>
    <mergeCell ref="B8:G8"/>
    <mergeCell ref="H8:I8"/>
    <mergeCell ref="B9:G9"/>
    <mergeCell ref="H9:I9"/>
    <mergeCell ref="B17:G17"/>
    <mergeCell ref="H17:I17"/>
    <mergeCell ref="B18:G18"/>
    <mergeCell ref="H18:I18"/>
    <mergeCell ref="B19:G19"/>
    <mergeCell ref="H19:I19"/>
    <mergeCell ref="B14:G14"/>
    <mergeCell ref="H14:I14"/>
    <mergeCell ref="B15:G15"/>
    <mergeCell ref="H15:I15"/>
    <mergeCell ref="B16:G16"/>
    <mergeCell ref="H16:I16"/>
    <mergeCell ref="B26:G26"/>
    <mergeCell ref="B27:G27"/>
    <mergeCell ref="B28:D28"/>
    <mergeCell ref="E28:G28"/>
    <mergeCell ref="A29:G29"/>
    <mergeCell ref="B31:G31"/>
    <mergeCell ref="B20:G20"/>
    <mergeCell ref="H20:I20"/>
    <mergeCell ref="B22:G22"/>
    <mergeCell ref="B23:G23"/>
    <mergeCell ref="B24:G24"/>
    <mergeCell ref="B25:G25"/>
    <mergeCell ref="C39:G39"/>
    <mergeCell ref="A40:G40"/>
    <mergeCell ref="A41:G43"/>
    <mergeCell ref="B45:G45"/>
    <mergeCell ref="B46:G46"/>
    <mergeCell ref="B47:G47"/>
    <mergeCell ref="B32:G32"/>
    <mergeCell ref="B33:G33"/>
    <mergeCell ref="C34:G34"/>
    <mergeCell ref="C35:G35"/>
    <mergeCell ref="C37:G37"/>
    <mergeCell ref="C38:G38"/>
    <mergeCell ref="A54:G54"/>
    <mergeCell ref="B56:G56"/>
    <mergeCell ref="B57:G57"/>
    <mergeCell ref="I57:I60"/>
    <mergeCell ref="B58:G58"/>
    <mergeCell ref="B59:G59"/>
    <mergeCell ref="B60:G60"/>
    <mergeCell ref="B48:G48"/>
    <mergeCell ref="B49:G49"/>
    <mergeCell ref="B50:G50"/>
    <mergeCell ref="B51:G51"/>
    <mergeCell ref="B52:G52"/>
    <mergeCell ref="B53:G53"/>
    <mergeCell ref="B66:G66"/>
    <mergeCell ref="B67:G67"/>
    <mergeCell ref="B68:G68"/>
    <mergeCell ref="B70:G70"/>
    <mergeCell ref="B71:G71"/>
    <mergeCell ref="B72:G72"/>
    <mergeCell ref="B61:G61"/>
    <mergeCell ref="I61:I64"/>
    <mergeCell ref="B62:G62"/>
    <mergeCell ref="B63:G63"/>
    <mergeCell ref="B64:G64"/>
    <mergeCell ref="B65:G65"/>
    <mergeCell ref="A80:G80"/>
    <mergeCell ref="B82:G82"/>
    <mergeCell ref="B83:G83"/>
    <mergeCell ref="B84:G84"/>
    <mergeCell ref="B85:G85"/>
    <mergeCell ref="B86:G86"/>
    <mergeCell ref="B73:G73"/>
    <mergeCell ref="A74:G74"/>
    <mergeCell ref="B76:G76"/>
    <mergeCell ref="B77:G77"/>
    <mergeCell ref="B78:G78"/>
    <mergeCell ref="B79:G79"/>
    <mergeCell ref="B98:G98"/>
    <mergeCell ref="B99:G99"/>
    <mergeCell ref="B100:G100"/>
    <mergeCell ref="B101:G101"/>
    <mergeCell ref="B102:G102"/>
    <mergeCell ref="B103:G103"/>
    <mergeCell ref="B87:G87"/>
    <mergeCell ref="B88:G88"/>
    <mergeCell ref="A89:G89"/>
    <mergeCell ref="A90:G93"/>
    <mergeCell ref="B96:G96"/>
    <mergeCell ref="B97:G97"/>
    <mergeCell ref="B110:G110"/>
    <mergeCell ref="B111:G111"/>
    <mergeCell ref="A112:G112"/>
    <mergeCell ref="B114:G114"/>
    <mergeCell ref="B115:G115"/>
    <mergeCell ref="B116:G116"/>
    <mergeCell ref="B104:G104"/>
    <mergeCell ref="B105:G105"/>
    <mergeCell ref="B106:G106"/>
    <mergeCell ref="B107:G107"/>
    <mergeCell ref="B108:G108"/>
    <mergeCell ref="A109:G109"/>
    <mergeCell ref="B127:G127"/>
    <mergeCell ref="B128:G128"/>
    <mergeCell ref="A129:G129"/>
    <mergeCell ref="A117:G117"/>
    <mergeCell ref="B119:G119"/>
    <mergeCell ref="B120:G120"/>
    <mergeCell ref="B121:G121"/>
    <mergeCell ref="B122:G122"/>
    <mergeCell ref="B123:G123"/>
    <mergeCell ref="B156:G156"/>
    <mergeCell ref="C36:G36"/>
    <mergeCell ref="B69:G69"/>
    <mergeCell ref="B149:G149"/>
    <mergeCell ref="B150:G150"/>
    <mergeCell ref="B151:G151"/>
    <mergeCell ref="A152:G152"/>
    <mergeCell ref="B153:G153"/>
    <mergeCell ref="A154:G154"/>
    <mergeCell ref="B142:G142"/>
    <mergeCell ref="B143:G143"/>
    <mergeCell ref="A144:G144"/>
    <mergeCell ref="A146:G146"/>
    <mergeCell ref="B147:G147"/>
    <mergeCell ref="B148:G148"/>
    <mergeCell ref="A130:G135"/>
    <mergeCell ref="B137:G137"/>
    <mergeCell ref="B138:G138"/>
    <mergeCell ref="B139:G139"/>
    <mergeCell ref="B140:G140"/>
    <mergeCell ref="B141:G141"/>
    <mergeCell ref="B124:G124"/>
    <mergeCell ref="B125:G125"/>
    <mergeCell ref="B126:G126"/>
  </mergeCells>
  <pageMargins left="0.511811024" right="0.511811024" top="0.78740157500000008" bottom="0.78740157500000008" header="0.31496062000000008" footer="0.31496062000000008"/>
  <pageSetup paperSize="9" scale="65" fitToWidth="0" fitToHeight="0"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E9806-610C-47D1-8DD0-9ACEC12792C0}">
  <dimension ref="A1:U71"/>
  <sheetViews>
    <sheetView zoomScale="90" zoomScaleNormal="90" workbookViewId="0">
      <selection activeCell="G6" sqref="G6"/>
    </sheetView>
  </sheetViews>
  <sheetFormatPr defaultColWidth="8.26953125" defaultRowHeight="16"/>
  <cols>
    <col min="1" max="1" width="25.81640625" style="34" bestFit="1" customWidth="1"/>
    <col min="2" max="2" width="19.26953125" style="26" bestFit="1" customWidth="1"/>
    <col min="3" max="3" width="21.7265625" style="26" bestFit="1" customWidth="1"/>
    <col min="4" max="4" width="20.81640625" style="26" bestFit="1" customWidth="1"/>
    <col min="5" max="5" width="14.54296875" style="26" customWidth="1"/>
    <col min="6" max="6" width="14.26953125" style="26" customWidth="1"/>
    <col min="7" max="7" width="16.1796875" style="26" customWidth="1"/>
    <col min="8" max="8" width="13.54296875" style="26" bestFit="1" customWidth="1"/>
    <col min="9" max="9" width="12.453125" style="26" customWidth="1"/>
    <col min="10" max="10" width="11.1796875" style="26" bestFit="1" customWidth="1"/>
    <col min="11" max="11" width="10.7265625" style="26" customWidth="1"/>
    <col min="12" max="14" width="11.1796875" style="26" bestFit="1" customWidth="1"/>
    <col min="15" max="15" width="8.26953125" style="26" customWidth="1"/>
    <col min="16" max="16" width="8.81640625" style="26" bestFit="1" customWidth="1"/>
    <col min="17" max="18" width="8.26953125" style="26"/>
    <col min="19" max="19" width="8.81640625" style="26" bestFit="1" customWidth="1"/>
    <col min="20" max="20" width="8.26953125" style="26"/>
    <col min="21" max="21" width="8.81640625" style="26" bestFit="1" customWidth="1"/>
    <col min="22" max="22" width="8.26953125" style="26"/>
    <col min="23" max="23" width="11" style="26" bestFit="1" customWidth="1"/>
    <col min="24" max="16384" width="8.26953125" style="26"/>
  </cols>
  <sheetData>
    <row r="1" spans="1:21" ht="18" customHeight="1">
      <c r="A1" s="361" t="s">
        <v>9</v>
      </c>
      <c r="B1" s="362"/>
      <c r="C1" s="362"/>
      <c r="D1" s="362"/>
      <c r="E1" s="362"/>
      <c r="F1" s="362"/>
      <c r="G1" s="362"/>
      <c r="H1" s="362"/>
      <c r="I1" s="362"/>
      <c r="J1" s="362"/>
      <c r="K1" s="362"/>
      <c r="L1" s="362"/>
      <c r="M1" s="362"/>
      <c r="N1" s="362"/>
      <c r="O1" s="362"/>
      <c r="P1" s="362"/>
      <c r="Q1" s="362"/>
      <c r="R1" s="362"/>
      <c r="S1" s="362"/>
      <c r="T1" s="362"/>
      <c r="U1" s="363"/>
    </row>
    <row r="2" spans="1:21" ht="18" customHeight="1">
      <c r="A2" s="358" t="s">
        <v>276</v>
      </c>
      <c r="B2" s="359"/>
      <c r="C2" s="359"/>
      <c r="D2" s="359"/>
      <c r="E2" s="359"/>
      <c r="F2" s="359"/>
      <c r="G2" s="359"/>
      <c r="H2" s="359"/>
      <c r="I2" s="359"/>
      <c r="J2" s="359"/>
      <c r="K2" s="359"/>
      <c r="L2" s="359"/>
      <c r="M2" s="359"/>
      <c r="N2" s="359"/>
      <c r="O2" s="359"/>
      <c r="P2" s="359"/>
      <c r="Q2" s="359"/>
      <c r="R2" s="359"/>
      <c r="S2" s="359"/>
      <c r="T2" s="359"/>
      <c r="U2" s="360"/>
    </row>
    <row r="3" spans="1:21" ht="49.5">
      <c r="A3" s="252" t="str">
        <f>'DADOS BÁSICOS LICITAÇÃO'!A3</f>
        <v>Data de apresentação da proposta (dia/mês/ano)</v>
      </c>
      <c r="B3" s="252" t="str">
        <f>'DADOS BÁSICOS LICITAÇÃO'!B3</f>
        <v>DATA DA SESSÃO PÚBLICA</v>
      </c>
      <c r="C3" s="252" t="str">
        <f>'DADOS BÁSICOS LICITAÇÃO'!C3</f>
        <v>HORA DA ABERTURA</v>
      </c>
      <c r="D3" s="252" t="str">
        <f>'DADOS BÁSICOS LICITAÇÃO'!D3</f>
        <v>PROCESSO</v>
      </c>
      <c r="E3" s="252" t="str">
        <f>'DADOS BÁSICOS LICITAÇÃO'!E3</f>
        <v>PREGÃO ELETRÔNICO Nº</v>
      </c>
      <c r="G3" s="27"/>
      <c r="H3" s="27"/>
      <c r="I3" s="27"/>
      <c r="J3" s="27"/>
      <c r="K3" s="27"/>
      <c r="L3" s="27"/>
    </row>
    <row r="4" spans="1:21" ht="16.5">
      <c r="A4" s="191">
        <f ca="1">'DADOS BÁSICOS LICITAÇÃO'!A4</f>
        <v>44344</v>
      </c>
      <c r="B4" s="191">
        <f>'DADOS BÁSICOS LICITAÇÃO'!B4</f>
        <v>44358</v>
      </c>
      <c r="C4" s="253">
        <f>'DADOS BÁSICOS LICITAÇÃO'!C4</f>
        <v>0.39583333333333298</v>
      </c>
      <c r="D4" s="191" t="str">
        <f>'DADOS BÁSICOS LICITAÇÃO'!D4</f>
        <v>08385.000738/2021-44</v>
      </c>
      <c r="E4" s="191" t="str">
        <f>'DADOS BÁSICOS LICITAÇÃO'!E4</f>
        <v>01/2021</v>
      </c>
      <c r="F4" s="27"/>
      <c r="G4" s="27"/>
      <c r="H4" s="27"/>
      <c r="I4" s="27"/>
      <c r="J4" s="27"/>
      <c r="K4" s="27"/>
      <c r="L4" s="27"/>
    </row>
    <row r="5" spans="1:21" s="28" customFormat="1" ht="16.5">
      <c r="A5" s="192"/>
      <c r="D5" s="29"/>
      <c r="E5" s="29"/>
      <c r="F5" s="29"/>
      <c r="G5" s="29"/>
      <c r="H5" s="29"/>
      <c r="I5" s="29"/>
      <c r="J5" s="29"/>
      <c r="K5" s="29"/>
      <c r="L5" s="29"/>
    </row>
    <row r="6" spans="1:21" ht="16.5">
      <c r="E6" s="27"/>
      <c r="F6" s="27"/>
      <c r="G6" s="27"/>
      <c r="H6" s="27"/>
      <c r="I6" s="27"/>
      <c r="J6" s="27"/>
      <c r="K6" s="27"/>
      <c r="L6" s="27"/>
    </row>
    <row r="7" spans="1:21" s="30" customFormat="1" ht="116">
      <c r="A7" s="254" t="s">
        <v>10</v>
      </c>
      <c r="B7" s="255" t="s">
        <v>197</v>
      </c>
      <c r="C7" s="255" t="s">
        <v>241</v>
      </c>
      <c r="D7" s="254" t="s">
        <v>13</v>
      </c>
      <c r="E7" s="254" t="s">
        <v>14</v>
      </c>
      <c r="F7" s="255" t="s">
        <v>193</v>
      </c>
      <c r="G7" s="255" t="s">
        <v>15</v>
      </c>
      <c r="H7" s="254" t="s">
        <v>16</v>
      </c>
      <c r="I7" s="190" t="s">
        <v>192</v>
      </c>
      <c r="J7" s="190" t="s">
        <v>191</v>
      </c>
      <c r="K7" s="190" t="s">
        <v>190</v>
      </c>
      <c r="L7" s="190" t="s">
        <v>189</v>
      </c>
      <c r="M7" s="190" t="s">
        <v>195</v>
      </c>
      <c r="N7" s="190" t="s">
        <v>242</v>
      </c>
      <c r="O7" s="190" t="s">
        <v>243</v>
      </c>
      <c r="P7" s="190" t="s">
        <v>194</v>
      </c>
      <c r="Q7" s="190" t="s">
        <v>245</v>
      </c>
      <c r="R7" s="190" t="s">
        <v>244</v>
      </c>
      <c r="S7" s="190" t="s">
        <v>247</v>
      </c>
      <c r="T7" s="190" t="s">
        <v>248</v>
      </c>
      <c r="U7" s="256" t="s">
        <v>17</v>
      </c>
    </row>
    <row r="8" spans="1:21" s="31" customFormat="1" ht="16.5">
      <c r="A8" s="257" t="str">
        <f>'DADOS BÁSICOS LICITAÇÃO'!A8</f>
        <v>Curitiba/PR</v>
      </c>
      <c r="B8" s="22">
        <f>'DADOS BÁSICOS LICITAÇÃO'!B8</f>
        <v>46</v>
      </c>
      <c r="C8" s="211" t="str">
        <f>'DADOS BÁSICOS LICITAÇÃO'!C8</f>
        <v>Recepcionista</v>
      </c>
      <c r="D8" s="258" t="str">
        <f>'DADOS BÁSICOS LICITAÇÃO'!D8</f>
        <v>PR000326/2021</v>
      </c>
      <c r="E8" s="259">
        <f>'DADOS BÁSICOS LICITAÇÃO'!E8</f>
        <v>44228</v>
      </c>
      <c r="F8" s="258" t="str">
        <f>'DADOS BÁSICOS LICITAÇÃO'!F8</f>
        <v>SIEMACOxSEAC</v>
      </c>
      <c r="G8" s="208">
        <f>'DADOS BÁSICOS LICITAÇÃO'!G8</f>
        <v>220</v>
      </c>
      <c r="H8" s="218">
        <f>'DADOS BÁSICOS LICITAÇÃO'!H8</f>
        <v>1516.66</v>
      </c>
      <c r="I8" s="218">
        <f>'DADOS BÁSICOS LICITAÇÃO'!I8</f>
        <v>450</v>
      </c>
      <c r="J8" s="218">
        <f>'DADOS BÁSICOS LICITAÇÃO'!J8</f>
        <v>64</v>
      </c>
      <c r="K8" s="218">
        <f>'DADOS BÁSICOS LICITAÇÃO'!K8</f>
        <v>21</v>
      </c>
      <c r="L8" s="218">
        <f>'DADOS BÁSICOS LICITAÇÃO'!L8</f>
        <v>21</v>
      </c>
      <c r="M8" s="218">
        <f>'DADOS BÁSICOS LICITAÇÃO'!M8</f>
        <v>450</v>
      </c>
      <c r="N8" s="260">
        <f>'DADOS BÁSICOS LICITAÇÃO'!N8</f>
        <v>0.2</v>
      </c>
      <c r="O8" s="261">
        <f>'DADOS BÁSICOS LICITAÇÃO'!O8</f>
        <v>44</v>
      </c>
      <c r="P8" s="218">
        <f>'DADOS BÁSICOS LICITAÇÃO'!P8</f>
        <v>4.5</v>
      </c>
      <c r="Q8" s="262">
        <f>'DADOS BÁSICOS LICITAÇÃO'!Q8</f>
        <v>0.33710000000000001</v>
      </c>
      <c r="R8" s="262">
        <f>'DADOS BÁSICOS LICITAÇÃO'!R8</f>
        <v>0.33710000000000001</v>
      </c>
      <c r="S8" s="262">
        <f>'DADOS BÁSICOS LICITAÇÃO'!S8</f>
        <v>0.05</v>
      </c>
      <c r="T8" s="262">
        <f>'DADOS BÁSICOS LICITAÇÃO'!T8</f>
        <v>0.05</v>
      </c>
      <c r="U8" s="263">
        <f>'DADOS BÁSICOS LICITAÇÃO'!U8</f>
        <v>0.05</v>
      </c>
    </row>
    <row r="9" spans="1:21" ht="16.5">
      <c r="A9" s="257" t="str">
        <f>'DADOS BÁSICOS LICITAÇÃO'!A9</f>
        <v>Guarapuava/PR</v>
      </c>
      <c r="B9" s="22">
        <f>'DADOS BÁSICOS LICITAÇÃO'!B9</f>
        <v>4</v>
      </c>
      <c r="C9" s="211" t="str">
        <f>'DADOS BÁSICOS LICITAÇÃO'!C9</f>
        <v>Recepcionista</v>
      </c>
      <c r="D9" s="258" t="str">
        <f>'DADOS BÁSICOS LICITAÇÃO'!D9</f>
        <v>PR000326/2021</v>
      </c>
      <c r="E9" s="259">
        <f>'DADOS BÁSICOS LICITAÇÃO'!E9</f>
        <v>44228</v>
      </c>
      <c r="F9" s="258" t="str">
        <f>'DADOS BÁSICOS LICITAÇÃO'!F9</f>
        <v>SIEMACOxSEAC</v>
      </c>
      <c r="G9" s="208">
        <f>'DADOS BÁSICOS LICITAÇÃO'!G9</f>
        <v>220</v>
      </c>
      <c r="H9" s="218">
        <f>'DADOS BÁSICOS LICITAÇÃO'!H9</f>
        <v>1516.66</v>
      </c>
      <c r="I9" s="218">
        <f>'DADOS BÁSICOS LICITAÇÃO'!I9</f>
        <v>450</v>
      </c>
      <c r="J9" s="218">
        <f>'DADOS BÁSICOS LICITAÇÃO'!J9</f>
        <v>64</v>
      </c>
      <c r="K9" s="218">
        <f>'DADOS BÁSICOS LICITAÇÃO'!K9</f>
        <v>21</v>
      </c>
      <c r="L9" s="218">
        <f>'DADOS BÁSICOS LICITAÇÃO'!L9</f>
        <v>21</v>
      </c>
      <c r="M9" s="218">
        <f>'DADOS BÁSICOS LICITAÇÃO'!M9</f>
        <v>450</v>
      </c>
      <c r="N9" s="260">
        <f>'DADOS BÁSICOS LICITAÇÃO'!N9</f>
        <v>0.2</v>
      </c>
      <c r="O9" s="261">
        <f>'DADOS BÁSICOS LICITAÇÃO'!O9</f>
        <v>44</v>
      </c>
      <c r="P9" s="218">
        <f>'DADOS BÁSICOS LICITAÇÃO'!P9</f>
        <v>3.4</v>
      </c>
      <c r="Q9" s="262">
        <f>'DADOS BÁSICOS LICITAÇÃO'!Q9</f>
        <v>0.33710000000000001</v>
      </c>
      <c r="R9" s="262">
        <f>'DADOS BÁSICOS LICITAÇÃO'!R9</f>
        <v>0.33710000000000001</v>
      </c>
      <c r="S9" s="262">
        <f>'DADOS BÁSICOS LICITAÇÃO'!S9</f>
        <v>0.05</v>
      </c>
      <c r="T9" s="262">
        <f>'DADOS BÁSICOS LICITAÇÃO'!T9</f>
        <v>0.05</v>
      </c>
      <c r="U9" s="263">
        <f>'DADOS BÁSICOS LICITAÇÃO'!U9</f>
        <v>0.05</v>
      </c>
    </row>
    <row r="10" spans="1:21" ht="16.5">
      <c r="A10" s="257" t="str">
        <f>'DADOS BÁSICOS LICITAÇÃO'!A10</f>
        <v>Londrina/PR</v>
      </c>
      <c r="B10" s="22">
        <f>'DADOS BÁSICOS LICITAÇÃO'!B10</f>
        <v>14</v>
      </c>
      <c r="C10" s="211" t="str">
        <f>'DADOS BÁSICOS LICITAÇÃO'!C10</f>
        <v>Recepcionista</v>
      </c>
      <c r="D10" s="258" t="str">
        <f>'DADOS BÁSICOS LICITAÇÃO'!D10</f>
        <v>PR000326/2021</v>
      </c>
      <c r="E10" s="259">
        <f>'DADOS BÁSICOS LICITAÇÃO'!E10</f>
        <v>44228</v>
      </c>
      <c r="F10" s="258" t="str">
        <f>'DADOS BÁSICOS LICITAÇÃO'!F10</f>
        <v>SIEMACOxSEAC</v>
      </c>
      <c r="G10" s="208">
        <f>'DADOS BÁSICOS LICITAÇÃO'!G10</f>
        <v>220</v>
      </c>
      <c r="H10" s="218">
        <f>'DADOS BÁSICOS LICITAÇÃO'!H10</f>
        <v>1516.66</v>
      </c>
      <c r="I10" s="218">
        <f>'DADOS BÁSICOS LICITAÇÃO'!I10</f>
        <v>450</v>
      </c>
      <c r="J10" s="218">
        <f>'DADOS BÁSICOS LICITAÇÃO'!J10</f>
        <v>64</v>
      </c>
      <c r="K10" s="218">
        <f>'DADOS BÁSICOS LICITAÇÃO'!K10</f>
        <v>21</v>
      </c>
      <c r="L10" s="218">
        <f>'DADOS BÁSICOS LICITAÇÃO'!L10</f>
        <v>21</v>
      </c>
      <c r="M10" s="218">
        <f>'DADOS BÁSICOS LICITAÇÃO'!M10</f>
        <v>450</v>
      </c>
      <c r="N10" s="260">
        <f>'DADOS BÁSICOS LICITAÇÃO'!N10</f>
        <v>0.2</v>
      </c>
      <c r="O10" s="261">
        <f>'DADOS BÁSICOS LICITAÇÃO'!O10</f>
        <v>44</v>
      </c>
      <c r="P10" s="218">
        <f>'DADOS BÁSICOS LICITAÇÃO'!P10</f>
        <v>4.25</v>
      </c>
      <c r="Q10" s="262">
        <f>'DADOS BÁSICOS LICITAÇÃO'!Q10</f>
        <v>0.33710000000000001</v>
      </c>
      <c r="R10" s="262">
        <f>'DADOS BÁSICOS LICITAÇÃO'!R10</f>
        <v>0.33710000000000001</v>
      </c>
      <c r="S10" s="262">
        <f>'DADOS BÁSICOS LICITAÇÃO'!S10</f>
        <v>0.05</v>
      </c>
      <c r="T10" s="262">
        <f>'DADOS BÁSICOS LICITAÇÃO'!T10</f>
        <v>0.05</v>
      </c>
      <c r="U10" s="263">
        <f>'DADOS BÁSICOS LICITAÇÃO'!U10</f>
        <v>0.04</v>
      </c>
    </row>
    <row r="11" spans="1:21" ht="16.5">
      <c r="A11" s="257" t="str">
        <f>'DADOS BÁSICOS LICITAÇÃO'!A11</f>
        <v>Maringá/PR</v>
      </c>
      <c r="B11" s="22">
        <f>'DADOS BÁSICOS LICITAÇÃO'!B11</f>
        <v>12</v>
      </c>
      <c r="C11" s="211" t="str">
        <f>'DADOS BÁSICOS LICITAÇÃO'!C11</f>
        <v>Recepcionista</v>
      </c>
      <c r="D11" s="258" t="str">
        <f>'DADOS BÁSICOS LICITAÇÃO'!D11</f>
        <v>PR000326/2021</v>
      </c>
      <c r="E11" s="259">
        <f>'DADOS BÁSICOS LICITAÇÃO'!E11</f>
        <v>44228</v>
      </c>
      <c r="F11" s="258" t="str">
        <f>'DADOS BÁSICOS LICITAÇÃO'!F11</f>
        <v>SIEMACOxSEAC</v>
      </c>
      <c r="G11" s="208">
        <f>'DADOS BÁSICOS LICITAÇÃO'!G11</f>
        <v>220</v>
      </c>
      <c r="H11" s="218">
        <f>'DADOS BÁSICOS LICITAÇÃO'!H11</f>
        <v>1516.66</v>
      </c>
      <c r="I11" s="218">
        <f>'DADOS BÁSICOS LICITAÇÃO'!I11</f>
        <v>450</v>
      </c>
      <c r="J11" s="218">
        <f>'DADOS BÁSICOS LICITAÇÃO'!J11</f>
        <v>64</v>
      </c>
      <c r="K11" s="218">
        <f>'DADOS BÁSICOS LICITAÇÃO'!K11</f>
        <v>21</v>
      </c>
      <c r="L11" s="218">
        <f>'DADOS BÁSICOS LICITAÇÃO'!L11</f>
        <v>21</v>
      </c>
      <c r="M11" s="218">
        <f>'DADOS BÁSICOS LICITAÇÃO'!M11</f>
        <v>450</v>
      </c>
      <c r="N11" s="260">
        <f>'DADOS BÁSICOS LICITAÇÃO'!N11</f>
        <v>0.2</v>
      </c>
      <c r="O11" s="261">
        <f>'DADOS BÁSICOS LICITAÇÃO'!O11</f>
        <v>44</v>
      </c>
      <c r="P11" s="218">
        <f>'DADOS BÁSICOS LICITAÇÃO'!P11</f>
        <v>4.3</v>
      </c>
      <c r="Q11" s="262">
        <f>'DADOS BÁSICOS LICITAÇÃO'!Q11</f>
        <v>0.33710000000000001</v>
      </c>
      <c r="R11" s="262">
        <f>'DADOS BÁSICOS LICITAÇÃO'!R11</f>
        <v>0.33710000000000001</v>
      </c>
      <c r="S11" s="262">
        <f>'DADOS BÁSICOS LICITAÇÃO'!S11</f>
        <v>0.05</v>
      </c>
      <c r="T11" s="262">
        <f>'DADOS BÁSICOS LICITAÇÃO'!T11</f>
        <v>0.05</v>
      </c>
      <c r="U11" s="263">
        <f>'DADOS BÁSICOS LICITAÇÃO'!U11</f>
        <v>0.03</v>
      </c>
    </row>
    <row r="12" spans="1:21" ht="16.5">
      <c r="A12" s="257" t="str">
        <f>'DADOS BÁSICOS LICITAÇÃO'!A12</f>
        <v>Paranaguá/PR</v>
      </c>
      <c r="B12" s="22">
        <f>'DADOS BÁSICOS LICITAÇÃO'!B12</f>
        <v>6</v>
      </c>
      <c r="C12" s="211" t="str">
        <f>'DADOS BÁSICOS LICITAÇÃO'!C12</f>
        <v>Recepcionista</v>
      </c>
      <c r="D12" s="258" t="str">
        <f>'DADOS BÁSICOS LICITAÇÃO'!D12</f>
        <v>PR000326/2021</v>
      </c>
      <c r="E12" s="259">
        <f>'DADOS BÁSICOS LICITAÇÃO'!E12</f>
        <v>44228</v>
      </c>
      <c r="F12" s="258" t="str">
        <f>'DADOS BÁSICOS LICITAÇÃO'!F12</f>
        <v>SIEMACOxSEAC</v>
      </c>
      <c r="G12" s="208">
        <f>'DADOS BÁSICOS LICITAÇÃO'!G12</f>
        <v>220</v>
      </c>
      <c r="H12" s="218">
        <f>'DADOS BÁSICOS LICITAÇÃO'!H12</f>
        <v>1516.66</v>
      </c>
      <c r="I12" s="218">
        <f>'DADOS BÁSICOS LICITAÇÃO'!I12</f>
        <v>450</v>
      </c>
      <c r="J12" s="218">
        <f>'DADOS BÁSICOS LICITAÇÃO'!J12</f>
        <v>64</v>
      </c>
      <c r="K12" s="218">
        <f>'DADOS BÁSICOS LICITAÇÃO'!K12</f>
        <v>21</v>
      </c>
      <c r="L12" s="218">
        <f>'DADOS BÁSICOS LICITAÇÃO'!L12</f>
        <v>21</v>
      </c>
      <c r="M12" s="218">
        <f>'DADOS BÁSICOS LICITAÇÃO'!M12</f>
        <v>450</v>
      </c>
      <c r="N12" s="260">
        <f>'DADOS BÁSICOS LICITAÇÃO'!N12</f>
        <v>0.2</v>
      </c>
      <c r="O12" s="261">
        <f>'DADOS BÁSICOS LICITAÇÃO'!O12</f>
        <v>44</v>
      </c>
      <c r="P12" s="218">
        <f>'DADOS BÁSICOS LICITAÇÃO'!P12</f>
        <v>3.7</v>
      </c>
      <c r="Q12" s="262">
        <f>'DADOS BÁSICOS LICITAÇÃO'!Q12</f>
        <v>0.33710000000000001</v>
      </c>
      <c r="R12" s="262">
        <f>'DADOS BÁSICOS LICITAÇÃO'!R12</f>
        <v>0.33710000000000001</v>
      </c>
      <c r="S12" s="262">
        <f>'DADOS BÁSICOS LICITAÇÃO'!S12</f>
        <v>0.05</v>
      </c>
      <c r="T12" s="262">
        <f>'DADOS BÁSICOS LICITAÇÃO'!T12</f>
        <v>0.05</v>
      </c>
      <c r="U12" s="263">
        <f>'DADOS BÁSICOS LICITAÇÃO'!U12</f>
        <v>0.04</v>
      </c>
    </row>
    <row r="13" spans="1:21" ht="16.5">
      <c r="A13" s="257" t="str">
        <f>'DADOS BÁSICOS LICITAÇÃO'!A13</f>
        <v>Ponta Grossa/PR</v>
      </c>
      <c r="B13" s="22">
        <f>'DADOS BÁSICOS LICITAÇÃO'!B13</f>
        <v>4</v>
      </c>
      <c r="C13" s="211" t="str">
        <f>'DADOS BÁSICOS LICITAÇÃO'!C13</f>
        <v>Recepcionista</v>
      </c>
      <c r="D13" s="258" t="str">
        <f>'DADOS BÁSICOS LICITAÇÃO'!D13</f>
        <v>PR000326/2021</v>
      </c>
      <c r="E13" s="259">
        <f>'DADOS BÁSICOS LICITAÇÃO'!E13</f>
        <v>44228</v>
      </c>
      <c r="F13" s="258" t="str">
        <f>'DADOS BÁSICOS LICITAÇÃO'!F13</f>
        <v>SIEMACOxSEAC</v>
      </c>
      <c r="G13" s="208">
        <f>'DADOS BÁSICOS LICITAÇÃO'!G13</f>
        <v>220</v>
      </c>
      <c r="H13" s="218">
        <f>'DADOS BÁSICOS LICITAÇÃO'!H13</f>
        <v>1516.66</v>
      </c>
      <c r="I13" s="218">
        <f>'DADOS BÁSICOS LICITAÇÃO'!I13</f>
        <v>450</v>
      </c>
      <c r="J13" s="218">
        <f>'DADOS BÁSICOS LICITAÇÃO'!J13</f>
        <v>64</v>
      </c>
      <c r="K13" s="218">
        <f>'DADOS BÁSICOS LICITAÇÃO'!K13</f>
        <v>21</v>
      </c>
      <c r="L13" s="218">
        <f>'DADOS BÁSICOS LICITAÇÃO'!L13</f>
        <v>21</v>
      </c>
      <c r="M13" s="218">
        <f>'DADOS BÁSICOS LICITAÇÃO'!M13</f>
        <v>450</v>
      </c>
      <c r="N13" s="260">
        <f>'DADOS BÁSICOS LICITAÇÃO'!N13</f>
        <v>0.2</v>
      </c>
      <c r="O13" s="261">
        <f>'DADOS BÁSICOS LICITAÇÃO'!O13</f>
        <v>44</v>
      </c>
      <c r="P13" s="218">
        <f>'DADOS BÁSICOS LICITAÇÃO'!P13</f>
        <v>4.3</v>
      </c>
      <c r="Q13" s="262">
        <f>'DADOS BÁSICOS LICITAÇÃO'!Q13</f>
        <v>0.33710000000000001</v>
      </c>
      <c r="R13" s="262">
        <f>'DADOS BÁSICOS LICITAÇÃO'!R13</f>
        <v>0.33710000000000001</v>
      </c>
      <c r="S13" s="262">
        <f>'DADOS BÁSICOS LICITAÇÃO'!S13</f>
        <v>0.05</v>
      </c>
      <c r="T13" s="262">
        <f>'DADOS BÁSICOS LICITAÇÃO'!T13</f>
        <v>0.05</v>
      </c>
      <c r="U13" s="263">
        <f>'DADOS BÁSICOS LICITAÇÃO'!U13</f>
        <v>0.05</v>
      </c>
    </row>
    <row r="14" spans="1:21" ht="16.5">
      <c r="A14" s="257" t="str">
        <f>'DADOS BÁSICOS LICITAÇÃO'!A14</f>
        <v>Curitiba/PR</v>
      </c>
      <c r="B14" s="22">
        <f>'DADOS BÁSICOS LICITAÇÃO'!B14</f>
        <v>2</v>
      </c>
      <c r="C14" s="211" t="str">
        <f>'DADOS BÁSICOS LICITAÇÃO'!C14</f>
        <v>Telefonista</v>
      </c>
      <c r="D14" s="258" t="str">
        <f>'DADOS BÁSICOS LICITAÇÃO'!D14</f>
        <v>PR000326/2021</v>
      </c>
      <c r="E14" s="259">
        <f>'DADOS BÁSICOS LICITAÇÃO'!E14</f>
        <v>44228</v>
      </c>
      <c r="F14" s="258" t="str">
        <f>'DADOS BÁSICOS LICITAÇÃO'!F14</f>
        <v>SIEMACOxSEAC</v>
      </c>
      <c r="G14" s="208">
        <f>'DADOS BÁSICOS LICITAÇÃO'!G14</f>
        <v>180</v>
      </c>
      <c r="H14" s="218">
        <f>'DADOS BÁSICOS LICITAÇÃO'!H14</f>
        <v>1415.56</v>
      </c>
      <c r="I14" s="218">
        <f>'DADOS BÁSICOS LICITAÇÃO'!I14</f>
        <v>450</v>
      </c>
      <c r="J14" s="218">
        <f>'DADOS BÁSICOS LICITAÇÃO'!J14</f>
        <v>64</v>
      </c>
      <c r="K14" s="218">
        <f>'DADOS BÁSICOS LICITAÇÃO'!K14</f>
        <v>21</v>
      </c>
      <c r="L14" s="218">
        <f>'DADOS BÁSICOS LICITAÇÃO'!L14</f>
        <v>21</v>
      </c>
      <c r="M14" s="218">
        <f>'DADOS BÁSICOS LICITAÇÃO'!M14</f>
        <v>450</v>
      </c>
      <c r="N14" s="260">
        <f>'DADOS BÁSICOS LICITAÇÃO'!N14</f>
        <v>0.2</v>
      </c>
      <c r="O14" s="261">
        <f>'DADOS BÁSICOS LICITAÇÃO'!O14</f>
        <v>44</v>
      </c>
      <c r="P14" s="218">
        <f>'DADOS BÁSICOS LICITAÇÃO'!P14</f>
        <v>4.5</v>
      </c>
      <c r="Q14" s="262">
        <f>'DADOS BÁSICOS LICITAÇÃO'!Q14</f>
        <v>0.33710000000000001</v>
      </c>
      <c r="R14" s="262">
        <f>'DADOS BÁSICOS LICITAÇÃO'!R14</f>
        <v>0.33710000000000001</v>
      </c>
      <c r="S14" s="262">
        <f>'DADOS BÁSICOS LICITAÇÃO'!S14</f>
        <v>0.05</v>
      </c>
      <c r="T14" s="262">
        <f>'DADOS BÁSICOS LICITAÇÃO'!T14</f>
        <v>0.05</v>
      </c>
      <c r="U14" s="263">
        <f>'DADOS BÁSICOS LICITAÇÃO'!U14</f>
        <v>0.05</v>
      </c>
    </row>
    <row r="15" spans="1:21" ht="16.5">
      <c r="A15" s="196"/>
      <c r="B15" s="197"/>
      <c r="C15" s="198"/>
      <c r="D15" s="198"/>
      <c r="E15" s="198"/>
      <c r="F15" s="199"/>
      <c r="G15" s="198"/>
      <c r="H15" s="29"/>
      <c r="I15" s="200"/>
      <c r="J15" s="200"/>
      <c r="K15" s="200"/>
      <c r="L15" s="200"/>
      <c r="M15" s="200"/>
      <c r="N15" s="200"/>
      <c r="O15" s="201"/>
      <c r="P15" s="29"/>
      <c r="Q15" s="202"/>
      <c r="R15" s="201"/>
      <c r="S15" s="201"/>
      <c r="T15" s="32"/>
      <c r="U15" s="32"/>
    </row>
    <row r="16" spans="1:21" ht="66">
      <c r="A16" s="264" t="s">
        <v>11</v>
      </c>
      <c r="B16" s="264" t="s">
        <v>12</v>
      </c>
      <c r="C16" s="265" t="s">
        <v>236</v>
      </c>
      <c r="D16" s="265" t="s">
        <v>196</v>
      </c>
      <c r="E16" s="265" t="s">
        <v>238</v>
      </c>
      <c r="F16" s="265" t="s">
        <v>237</v>
      </c>
      <c r="G16" s="198"/>
      <c r="H16" s="29"/>
      <c r="I16" s="200"/>
      <c r="J16" s="200"/>
      <c r="K16" s="200"/>
      <c r="L16" s="200"/>
      <c r="M16" s="200"/>
      <c r="N16" s="200"/>
      <c r="O16" s="201"/>
      <c r="P16" s="29"/>
      <c r="Q16" s="202"/>
      <c r="R16" s="201"/>
      <c r="S16" s="201"/>
      <c r="T16" s="32"/>
      <c r="U16" s="32"/>
    </row>
    <row r="17" spans="1:21" ht="16.5">
      <c r="A17" s="23" t="str">
        <f>'DADOS BÁSICOS LICITAÇÃO'!A17</f>
        <v>4221-05</v>
      </c>
      <c r="B17" s="23" t="str">
        <f>'DADOS BÁSICOS LICITAÇÃO'!B17</f>
        <v>Recepcionista</v>
      </c>
      <c r="C17" s="195">
        <f>'DADOS BÁSICOS LICITAÇÃO'!C17</f>
        <v>200</v>
      </c>
      <c r="D17" s="195">
        <f>'DADOS BÁSICOS LICITAÇÃO'!D17</f>
        <v>1</v>
      </c>
      <c r="E17" s="403">
        <f>'DADOS BÁSICOS LICITAÇÃO'!E17</f>
        <v>12</v>
      </c>
      <c r="F17" s="403">
        <f>'DADOS BÁSICOS LICITAÇÃO'!F17</f>
        <v>22</v>
      </c>
      <c r="G17" s="198"/>
      <c r="H17" s="29"/>
      <c r="I17" s="200"/>
      <c r="J17" s="200"/>
      <c r="K17" s="200"/>
      <c r="L17" s="200"/>
      <c r="M17" s="200"/>
      <c r="N17" s="200"/>
      <c r="O17" s="201"/>
      <c r="P17" s="29"/>
      <c r="Q17" s="202"/>
      <c r="R17" s="201"/>
      <c r="S17" s="201"/>
      <c r="T17" s="32"/>
      <c r="U17" s="32"/>
    </row>
    <row r="18" spans="1:21" ht="16.5">
      <c r="A18" s="23" t="str">
        <f>'DADOS BÁSICOS LICITAÇÃO'!A18</f>
        <v>4222-05</v>
      </c>
      <c r="B18" s="23" t="str">
        <f>'DADOS BÁSICOS LICITAÇÃO'!B18</f>
        <v>Telefonista</v>
      </c>
      <c r="C18" s="195">
        <f>'DADOS BÁSICOS LICITAÇÃO'!C18</f>
        <v>150</v>
      </c>
      <c r="D18" s="195">
        <f>'DADOS BÁSICOS LICITAÇÃO'!D18</f>
        <v>1</v>
      </c>
      <c r="E18" s="404">
        <f>'DADOS BÁSICOS LICITAÇÃO'!E18</f>
        <v>0</v>
      </c>
      <c r="F18" s="404">
        <f>'DADOS BÁSICOS LICITAÇÃO'!F18</f>
        <v>0</v>
      </c>
      <c r="G18" s="198"/>
      <c r="H18" s="29"/>
      <c r="I18" s="200"/>
      <c r="J18" s="200"/>
      <c r="K18" s="200"/>
      <c r="L18" s="200"/>
      <c r="M18" s="200"/>
      <c r="N18" s="200"/>
      <c r="O18" s="201"/>
      <c r="P18" s="29"/>
      <c r="Q18" s="202"/>
      <c r="R18" s="201"/>
      <c r="S18" s="201"/>
      <c r="T18" s="32"/>
      <c r="U18" s="32"/>
    </row>
    <row r="19" spans="1:21" ht="16.5">
      <c r="A19" s="196"/>
      <c r="B19" s="197"/>
      <c r="C19" s="198"/>
      <c r="D19" s="198"/>
      <c r="E19" s="198"/>
      <c r="F19" s="199"/>
      <c r="G19" s="198"/>
      <c r="H19" s="29"/>
      <c r="I19" s="200"/>
      <c r="J19" s="200"/>
      <c r="K19" s="200"/>
      <c r="L19" s="200"/>
      <c r="M19" s="200"/>
      <c r="N19" s="200"/>
      <c r="O19" s="201"/>
      <c r="P19" s="29"/>
      <c r="Q19" s="202"/>
      <c r="R19" s="201"/>
      <c r="S19" s="201"/>
      <c r="T19" s="32"/>
      <c r="U19" s="32"/>
    </row>
    <row r="20" spans="1:21" ht="16.5">
      <c r="A20" s="355" t="s">
        <v>175</v>
      </c>
      <c r="B20" s="355"/>
      <c r="C20" s="355"/>
      <c r="D20" s="205"/>
      <c r="I20" s="200"/>
      <c r="J20" s="200"/>
      <c r="K20" s="200"/>
      <c r="L20" s="200"/>
      <c r="M20" s="200"/>
      <c r="N20" s="200"/>
      <c r="O20" s="201"/>
      <c r="P20" s="29"/>
      <c r="Q20" s="202"/>
      <c r="R20" s="201"/>
      <c r="S20" s="201"/>
      <c r="T20" s="32"/>
      <c r="U20" s="32"/>
    </row>
    <row r="21" spans="1:21" ht="33">
      <c r="A21" s="266" t="s">
        <v>2</v>
      </c>
      <c r="B21" s="267" t="s">
        <v>176</v>
      </c>
      <c r="C21" s="267" t="s">
        <v>240</v>
      </c>
      <c r="I21" s="200"/>
      <c r="J21" s="200"/>
      <c r="K21" s="200"/>
      <c r="L21" s="200"/>
      <c r="M21" s="200"/>
      <c r="N21" s="200"/>
      <c r="O21" s="201"/>
      <c r="P21" s="29"/>
      <c r="Q21" s="202"/>
      <c r="R21" s="201"/>
      <c r="S21" s="201"/>
      <c r="T21" s="32"/>
      <c r="U21" s="32"/>
    </row>
    <row r="22" spans="1:21" ht="17.5">
      <c r="A22" s="23" t="str">
        <f>'DADOS BÁSICOS LICITAÇÃO'!A22</f>
        <v xml:space="preserve">Hora Extra 50% </v>
      </c>
      <c r="B22" s="208">
        <f>'DADOS BÁSICOS LICITAÇÃO'!B22</f>
        <v>90</v>
      </c>
      <c r="C22" s="209">
        <f>'DADOS BÁSICOS LICITAÇÃO'!C22</f>
        <v>1.05</v>
      </c>
      <c r="I22" s="200"/>
      <c r="J22" s="200"/>
      <c r="K22" s="200"/>
      <c r="L22" s="200"/>
      <c r="M22" s="200"/>
      <c r="N22" s="200"/>
      <c r="O22" s="201"/>
      <c r="P22" s="29"/>
      <c r="Q22" s="202"/>
      <c r="R22" s="201"/>
      <c r="S22" s="201"/>
      <c r="T22" s="32"/>
      <c r="U22" s="32"/>
    </row>
    <row r="23" spans="1:21" ht="16.5">
      <c r="A23" s="196"/>
      <c r="B23" s="197"/>
      <c r="C23" s="198"/>
      <c r="D23" s="198"/>
      <c r="E23" s="198"/>
      <c r="F23" s="199"/>
      <c r="G23" s="198"/>
      <c r="H23" s="29"/>
      <c r="I23" s="200"/>
      <c r="J23" s="200"/>
      <c r="K23" s="200"/>
      <c r="L23" s="200"/>
      <c r="M23" s="200"/>
      <c r="N23" s="200"/>
      <c r="O23" s="201"/>
      <c r="P23" s="29"/>
      <c r="Q23" s="202"/>
      <c r="R23" s="201"/>
      <c r="S23" s="201"/>
      <c r="T23" s="32"/>
      <c r="U23" s="32"/>
    </row>
    <row r="24" spans="1:21" ht="21">
      <c r="A24" s="356"/>
      <c r="B24" s="355" t="s">
        <v>249</v>
      </c>
      <c r="C24" s="355"/>
      <c r="D24" s="205"/>
    </row>
    <row r="25" spans="1:21" ht="14.25" customHeight="1">
      <c r="A25" s="357"/>
      <c r="B25" s="405" t="str">
        <f>'DADOS BÁSICOS LICITAÇÃO'!B25</f>
        <v>LUCRO PRESUMIDO</v>
      </c>
      <c r="C25" s="406"/>
      <c r="D25" s="210"/>
      <c r="G25" s="210"/>
    </row>
    <row r="26" spans="1:21" ht="16.5">
      <c r="A26" s="264" t="s">
        <v>250</v>
      </c>
      <c r="B26" s="264" t="s">
        <v>28</v>
      </c>
      <c r="C26" s="264" t="s">
        <v>29</v>
      </c>
    </row>
    <row r="27" spans="1:21" ht="16.5">
      <c r="A27" s="211" t="str">
        <f>'DADOS BÁSICOS LICITAÇÃO'!A27</f>
        <v>PIS</v>
      </c>
      <c r="B27" s="212">
        <f>'DADOS BÁSICOS LICITAÇÃO'!B27</f>
        <v>6.4999999999999997E-3</v>
      </c>
      <c r="C27" s="213">
        <f>'DADOS BÁSICOS LICITAÇÃO'!C27</f>
        <v>1.6500000000000001E-2</v>
      </c>
    </row>
    <row r="28" spans="1:21" ht="16.5">
      <c r="A28" s="211" t="str">
        <f>'DADOS BÁSICOS LICITAÇÃO'!A28</f>
        <v>COFINS</v>
      </c>
      <c r="B28" s="212">
        <f>'DADOS BÁSICOS LICITAÇÃO'!B28</f>
        <v>0.03</v>
      </c>
      <c r="C28" s="213">
        <f>'DADOS BÁSICOS LICITAÇÃO'!C28</f>
        <v>7.5999999999999998E-2</v>
      </c>
    </row>
    <row r="29" spans="1:21" ht="16.5">
      <c r="A29" s="211" t="str">
        <f>'DADOS BÁSICOS LICITAÇÃO'!A29</f>
        <v>INSS</v>
      </c>
      <c r="B29" s="212">
        <f>'DADOS BÁSICOS LICITAÇÃO'!B29</f>
        <v>0.2</v>
      </c>
      <c r="C29" s="212">
        <f>'DADOS BÁSICOS LICITAÇÃO'!C29</f>
        <v>0.2</v>
      </c>
    </row>
    <row r="30" spans="1:21" ht="16.5">
      <c r="A30" s="211" t="str">
        <f>'DADOS BÁSICOS LICITAÇÃO'!A30</f>
        <v>SALARIO EDUCAÇÃO</v>
      </c>
      <c r="B30" s="212">
        <f>'DADOS BÁSICOS LICITAÇÃO'!B30</f>
        <v>2.5000000000000001E-2</v>
      </c>
      <c r="C30" s="212">
        <f>'DADOS BÁSICOS LICITAÇÃO'!C30</f>
        <v>2.5000000000000001E-2</v>
      </c>
    </row>
    <row r="31" spans="1:21" ht="16.5">
      <c r="A31" s="211" t="str">
        <f>'DADOS BÁSICOS LICITAÇÃO'!A31</f>
        <v>SAT (RAT X FAP)</v>
      </c>
      <c r="B31" s="213">
        <f>'DADOS BÁSICOS LICITAÇÃO'!B31</f>
        <v>0.03</v>
      </c>
      <c r="C31" s="213">
        <f>'DADOS BÁSICOS LICITAÇÃO'!C31</f>
        <v>0.03</v>
      </c>
      <c r="I31" s="214"/>
      <c r="J31" s="214"/>
      <c r="K31" s="214"/>
    </row>
    <row r="32" spans="1:21" ht="16.5">
      <c r="A32" s="211" t="str">
        <f>'DADOS BÁSICOS LICITAÇÃO'!A32</f>
        <v>SESC ou SESI</v>
      </c>
      <c r="B32" s="212">
        <f>'DADOS BÁSICOS LICITAÇÃO'!B32</f>
        <v>1.4999999999999999E-2</v>
      </c>
      <c r="C32" s="212">
        <f>'DADOS BÁSICOS LICITAÇÃO'!C32</f>
        <v>1.4999999999999999E-2</v>
      </c>
    </row>
    <row r="33" spans="1:11" ht="16.5">
      <c r="A33" s="211" t="str">
        <f>'DADOS BÁSICOS LICITAÇÃO'!A33</f>
        <v>SENAI ou SENAC</v>
      </c>
      <c r="B33" s="212">
        <f>'DADOS BÁSICOS LICITAÇÃO'!B33</f>
        <v>0.01</v>
      </c>
      <c r="C33" s="212">
        <f>'DADOS BÁSICOS LICITAÇÃO'!C33</f>
        <v>0.01</v>
      </c>
      <c r="I33" s="215"/>
      <c r="J33" s="215"/>
      <c r="K33" s="216"/>
    </row>
    <row r="34" spans="1:11" ht="16.5">
      <c r="A34" s="211" t="str">
        <f>'DADOS BÁSICOS LICITAÇÃO'!A34</f>
        <v>SEBRAE</v>
      </c>
      <c r="B34" s="212">
        <f>'DADOS BÁSICOS LICITAÇÃO'!B34</f>
        <v>6.0000000000000001E-3</v>
      </c>
      <c r="C34" s="212">
        <f>'DADOS BÁSICOS LICITAÇÃO'!C34</f>
        <v>6.0000000000000001E-3</v>
      </c>
      <c r="I34" s="215"/>
      <c r="J34" s="215"/>
      <c r="K34" s="217"/>
    </row>
    <row r="35" spans="1:11" ht="16.5">
      <c r="A35" s="211" t="str">
        <f>'DADOS BÁSICOS LICITAÇÃO'!A35</f>
        <v>INCRA</v>
      </c>
      <c r="B35" s="212">
        <f>'DADOS BÁSICOS LICITAÇÃO'!B35</f>
        <v>2E-3</v>
      </c>
      <c r="C35" s="212">
        <f>'DADOS BÁSICOS LICITAÇÃO'!C35</f>
        <v>2E-3</v>
      </c>
    </row>
    <row r="36" spans="1:11" ht="16.5">
      <c r="A36" s="211" t="str">
        <f>'DADOS BÁSICOS LICITAÇÃO'!A36</f>
        <v>FGTS</v>
      </c>
      <c r="B36" s="212">
        <f>'DADOS BÁSICOS LICITAÇÃO'!B36</f>
        <v>0.08</v>
      </c>
      <c r="C36" s="212">
        <f>'DADOS BÁSICOS LICITAÇÃO'!C36</f>
        <v>0.08</v>
      </c>
    </row>
    <row r="38" spans="1:11" ht="17.5">
      <c r="A38" s="355" t="s">
        <v>252</v>
      </c>
      <c r="B38" s="355"/>
      <c r="C38" s="355"/>
      <c r="D38" s="355"/>
    </row>
    <row r="39" spans="1:11" ht="33">
      <c r="A39" s="266" t="s">
        <v>2</v>
      </c>
      <c r="B39" s="267" t="s">
        <v>179</v>
      </c>
      <c r="C39" s="266" t="s">
        <v>41</v>
      </c>
      <c r="D39" s="266" t="s">
        <v>42</v>
      </c>
    </row>
    <row r="40" spans="1:11" ht="17.5">
      <c r="A40" s="208" t="str">
        <f>'DADOS BÁSICOS LICITAÇÃO'!A40</f>
        <v>Camisa Polo</v>
      </c>
      <c r="B40" s="208">
        <f>3*(SUM($B$8:$B$14))</f>
        <v>264</v>
      </c>
      <c r="C40" s="218">
        <f>'DADOS BÁSICOS LICITAÇÃO'!C40</f>
        <v>36.97</v>
      </c>
      <c r="D40" s="219">
        <f>C40*B40</f>
        <v>9760.08</v>
      </c>
    </row>
    <row r="41" spans="1:11" ht="17.5">
      <c r="A41" s="208" t="str">
        <f>'DADOS BÁSICOS LICITAÇÃO'!A41</f>
        <v>Blusas de lã</v>
      </c>
      <c r="B41" s="208">
        <f>1*(SUM($B$8:$B$14))</f>
        <v>88</v>
      </c>
      <c r="C41" s="218">
        <f>'DADOS BÁSICOS LICITAÇÃO'!C41</f>
        <v>82.25</v>
      </c>
      <c r="D41" s="219">
        <f t="shared" ref="D41:D43" si="0">C41*B41</f>
        <v>7238</v>
      </c>
    </row>
    <row r="42" spans="1:11" ht="17.5">
      <c r="A42" s="208" t="str">
        <f>'DADOS BÁSICOS LICITAÇÃO'!A42</f>
        <v>Jaquetas de Nylon</v>
      </c>
      <c r="B42" s="208">
        <f>1*(SUM($B$8:$B$14))</f>
        <v>88</v>
      </c>
      <c r="C42" s="218">
        <f>'DADOS BÁSICOS LICITAÇÃO'!C42</f>
        <v>123.38</v>
      </c>
      <c r="D42" s="219">
        <f t="shared" si="0"/>
        <v>10857.44</v>
      </c>
    </row>
    <row r="43" spans="1:11" ht="17.5">
      <c r="A43" s="208" t="str">
        <f>'DADOS BÁSICOS LICITAÇÃO'!A43</f>
        <v>Calça/Saia Jeans</v>
      </c>
      <c r="B43" s="208">
        <f>2*(SUM($B$8:$B$14))</f>
        <v>176</v>
      </c>
      <c r="C43" s="218">
        <f>'DADOS BÁSICOS LICITAÇÃO'!C43</f>
        <v>55.39</v>
      </c>
      <c r="D43" s="219">
        <f t="shared" si="0"/>
        <v>9748.64</v>
      </c>
    </row>
    <row r="44" spans="1:11" ht="17.5">
      <c r="A44" s="354" t="s">
        <v>290</v>
      </c>
      <c r="B44" s="354"/>
      <c r="C44" s="354"/>
      <c r="D44" s="219">
        <f>SUM(D40:D43)</f>
        <v>37604.160000000003</v>
      </c>
    </row>
    <row r="45" spans="1:11" ht="17.5">
      <c r="A45" s="354" t="s">
        <v>291</v>
      </c>
      <c r="B45" s="354"/>
      <c r="C45" s="354"/>
      <c r="D45" s="220">
        <f>D44/SUM(B8:B14)</f>
        <v>427.32</v>
      </c>
    </row>
    <row r="46" spans="1:11" ht="17.5">
      <c r="A46" s="354" t="s">
        <v>292</v>
      </c>
      <c r="B46" s="354"/>
      <c r="C46" s="354"/>
      <c r="D46" s="220">
        <f>D45/12</f>
        <v>35.61</v>
      </c>
    </row>
    <row r="48" spans="1:11" ht="16.5">
      <c r="A48" s="355" t="s">
        <v>254</v>
      </c>
      <c r="B48" s="355"/>
      <c r="C48" s="355"/>
      <c r="D48" s="355"/>
    </row>
    <row r="49" spans="1:8" ht="33">
      <c r="A49" s="268" t="s">
        <v>2</v>
      </c>
      <c r="B49" s="269" t="s">
        <v>45</v>
      </c>
      <c r="C49" s="268" t="s">
        <v>41</v>
      </c>
      <c r="D49" s="268" t="s">
        <v>46</v>
      </c>
    </row>
    <row r="50" spans="1:8" ht="16.5">
      <c r="A50" s="218">
        <f>'DADOS BÁSICOS LICITAÇÃO'!A$50</f>
        <v>0</v>
      </c>
      <c r="B50" s="218">
        <f>'DADOS BÁSICOS LICITAÇÃO'!B$50</f>
        <v>0</v>
      </c>
      <c r="C50" s="218">
        <f>'DADOS BÁSICOS LICITAÇÃO'!C$50</f>
        <v>0</v>
      </c>
      <c r="D50" s="218">
        <f>'DADOS BÁSICOS LICITAÇÃO'!D$50</f>
        <v>0</v>
      </c>
    </row>
    <row r="51" spans="1:8" ht="16.5">
      <c r="A51" s="27"/>
      <c r="B51" s="27"/>
      <c r="C51" s="221"/>
      <c r="D51" s="221"/>
    </row>
    <row r="52" spans="1:8" ht="16.5">
      <c r="A52" s="355" t="s">
        <v>253</v>
      </c>
      <c r="B52" s="355"/>
      <c r="C52" s="355"/>
      <c r="D52" s="355"/>
      <c r="E52" s="355"/>
      <c r="F52" s="355"/>
      <c r="G52" s="355"/>
    </row>
    <row r="53" spans="1:8" s="33" customFormat="1" ht="33">
      <c r="A53" s="268" t="s">
        <v>2</v>
      </c>
      <c r="B53" s="269" t="s">
        <v>48</v>
      </c>
      <c r="C53" s="269" t="s">
        <v>49</v>
      </c>
      <c r="D53" s="268" t="s">
        <v>41</v>
      </c>
      <c r="E53" s="268" t="s">
        <v>46</v>
      </c>
      <c r="F53" s="268" t="s">
        <v>50</v>
      </c>
      <c r="G53" s="269" t="s">
        <v>51</v>
      </c>
    </row>
    <row r="54" spans="1:8" ht="16.5">
      <c r="A54" s="208" t="s">
        <v>52</v>
      </c>
      <c r="B54" s="208">
        <v>1</v>
      </c>
      <c r="C54" s="208">
        <v>7</v>
      </c>
      <c r="D54" s="218">
        <f>'DADOS BÁSICOS LICITAÇÃO'!D54</f>
        <v>1657.95</v>
      </c>
      <c r="E54" s="222">
        <f>D54*C54*B54</f>
        <v>11605.65</v>
      </c>
      <c r="F54" s="222">
        <f>E54*10%</f>
        <v>1160.57</v>
      </c>
      <c r="G54" s="222">
        <f>F54/12</f>
        <v>96.71</v>
      </c>
    </row>
    <row r="58" spans="1:8" ht="16.5">
      <c r="A58" s="364" t="s">
        <v>255</v>
      </c>
      <c r="B58" s="364"/>
      <c r="C58" s="364"/>
      <c r="D58" s="364"/>
      <c r="E58" s="364"/>
      <c r="F58" s="364"/>
      <c r="G58" s="365"/>
      <c r="H58" s="223" t="s">
        <v>239</v>
      </c>
    </row>
    <row r="59" spans="1:8" ht="16.5" customHeight="1">
      <c r="A59" s="154" t="s">
        <v>58</v>
      </c>
      <c r="B59" s="407" t="s">
        <v>135</v>
      </c>
      <c r="C59" s="407"/>
      <c r="D59" s="407"/>
      <c r="E59" s="407"/>
      <c r="F59" s="407"/>
      <c r="G59" s="407"/>
      <c r="H59" s="270">
        <f>SUM(H60:H67)</f>
        <v>4.8734000000000002</v>
      </c>
    </row>
    <row r="60" spans="1:8" ht="16.5">
      <c r="A60" s="140" t="s">
        <v>219</v>
      </c>
      <c r="B60" s="300" t="s">
        <v>211</v>
      </c>
      <c r="C60" s="300"/>
      <c r="D60" s="300"/>
      <c r="E60" s="300"/>
      <c r="F60" s="300"/>
      <c r="G60" s="300"/>
      <c r="H60" s="224">
        <f>'DADOS BÁSICOS LICITAÇÃO'!H60</f>
        <v>1</v>
      </c>
    </row>
    <row r="61" spans="1:8" ht="16.5" customHeight="1">
      <c r="A61" s="140" t="s">
        <v>221</v>
      </c>
      <c r="B61" s="300" t="s">
        <v>212</v>
      </c>
      <c r="C61" s="300"/>
      <c r="D61" s="300"/>
      <c r="E61" s="300"/>
      <c r="F61" s="300"/>
      <c r="G61" s="300"/>
      <c r="H61" s="224">
        <f>'DADOS BÁSICOS LICITAÇÃO'!H61</f>
        <v>3.4929999999999999</v>
      </c>
    </row>
    <row r="62" spans="1:8" ht="16.5" customHeight="1">
      <c r="A62" s="140" t="s">
        <v>222</v>
      </c>
      <c r="B62" s="300" t="s">
        <v>213</v>
      </c>
      <c r="C62" s="300"/>
      <c r="D62" s="300"/>
      <c r="E62" s="300"/>
      <c r="F62" s="300"/>
      <c r="G62" s="300"/>
      <c r="H62" s="224">
        <f>'DADOS BÁSICOS LICITAÇÃO'!H62</f>
        <v>0.26879999999999998</v>
      </c>
    </row>
    <row r="63" spans="1:8" ht="16.5">
      <c r="A63" s="140" t="s">
        <v>228</v>
      </c>
      <c r="B63" s="300" t="s">
        <v>214</v>
      </c>
      <c r="C63" s="300"/>
      <c r="D63" s="300"/>
      <c r="E63" s="300"/>
      <c r="F63" s="300"/>
      <c r="G63" s="300"/>
      <c r="H63" s="224">
        <f>'DADOS BÁSICOS LICITAÇÃO'!H63</f>
        <v>4.2599999999999999E-2</v>
      </c>
    </row>
    <row r="64" spans="1:8" ht="16.5">
      <c r="A64" s="140" t="s">
        <v>229</v>
      </c>
      <c r="B64" s="300" t="s">
        <v>215</v>
      </c>
      <c r="C64" s="300"/>
      <c r="D64" s="300"/>
      <c r="E64" s="300"/>
      <c r="F64" s="300"/>
      <c r="G64" s="300"/>
      <c r="H64" s="224">
        <f>'DADOS BÁSICOS LICITAÇÃO'!H64</f>
        <v>3.5400000000000001E-2</v>
      </c>
    </row>
    <row r="65" spans="1:8" ht="16.5">
      <c r="A65" s="140" t="s">
        <v>230</v>
      </c>
      <c r="B65" s="300" t="s">
        <v>216</v>
      </c>
      <c r="C65" s="300"/>
      <c r="D65" s="300"/>
      <c r="E65" s="300"/>
      <c r="F65" s="300"/>
      <c r="G65" s="300"/>
      <c r="H65" s="224">
        <f>'DADOS BÁSICOS LICITAÇÃO'!H65</f>
        <v>0.02</v>
      </c>
    </row>
    <row r="66" spans="1:8" ht="16.5">
      <c r="A66" s="140" t="s">
        <v>231</v>
      </c>
      <c r="B66" s="300" t="s">
        <v>217</v>
      </c>
      <c r="C66" s="300"/>
      <c r="D66" s="300"/>
      <c r="E66" s="300"/>
      <c r="F66" s="300"/>
      <c r="G66" s="300"/>
      <c r="H66" s="224">
        <f>'DADOS BÁSICOS LICITAÇÃO'!H66</f>
        <v>4.0000000000000001E-3</v>
      </c>
    </row>
    <row r="67" spans="1:8" ht="16.5">
      <c r="A67" s="140" t="s">
        <v>232</v>
      </c>
      <c r="B67" s="300" t="s">
        <v>218</v>
      </c>
      <c r="C67" s="300"/>
      <c r="D67" s="300"/>
      <c r="E67" s="300"/>
      <c r="F67" s="300"/>
      <c r="G67" s="300"/>
      <c r="H67" s="224">
        <f>'DADOS BÁSICOS LICITAÇÃO'!H67</f>
        <v>9.5999999999999992E-3</v>
      </c>
    </row>
    <row r="68" spans="1:8" ht="16.5" customHeight="1">
      <c r="A68" s="69" t="s">
        <v>60</v>
      </c>
      <c r="B68" s="301" t="s">
        <v>136</v>
      </c>
      <c r="C68" s="301"/>
      <c r="D68" s="301"/>
      <c r="E68" s="301"/>
      <c r="F68" s="301"/>
      <c r="G68" s="301"/>
      <c r="H68" s="224">
        <f>'DADOS BÁSICOS LICITAÇÃO'!H68</f>
        <v>0.19980000000000001</v>
      </c>
    </row>
    <row r="69" spans="1:8" ht="16.5" customHeight="1">
      <c r="A69" s="69" t="s">
        <v>62</v>
      </c>
      <c r="B69" s="301" t="s">
        <v>137</v>
      </c>
      <c r="C69" s="301"/>
      <c r="D69" s="301"/>
      <c r="E69" s="301"/>
      <c r="F69" s="301"/>
      <c r="G69" s="301"/>
      <c r="H69" s="224">
        <f>'DADOS BÁSICOS LICITAÇÃO'!H69</f>
        <v>0.96619999999999995</v>
      </c>
    </row>
    <row r="70" spans="1:8" ht="16.5" customHeight="1">
      <c r="A70" s="69" t="s">
        <v>64</v>
      </c>
      <c r="B70" s="301" t="s">
        <v>138</v>
      </c>
      <c r="C70" s="301"/>
      <c r="D70" s="301"/>
      <c r="E70" s="301"/>
      <c r="F70" s="301"/>
      <c r="G70" s="301"/>
      <c r="H70" s="224">
        <f>'DADOS BÁSICOS LICITAÇÃO'!H70</f>
        <v>2.4771999999999998</v>
      </c>
    </row>
    <row r="71" spans="1:8" ht="16.5" customHeight="1">
      <c r="A71" s="41" t="s">
        <v>66</v>
      </c>
      <c r="B71" s="301" t="s">
        <v>139</v>
      </c>
      <c r="C71" s="301"/>
      <c r="D71" s="301"/>
      <c r="E71" s="301"/>
      <c r="F71" s="301"/>
      <c r="G71" s="301"/>
      <c r="H71" s="224">
        <f>'DADOS BÁSICOS LICITAÇÃO'!H71</f>
        <v>0</v>
      </c>
    </row>
  </sheetData>
  <sheetProtection algorithmName="SHA-512" hashValue="YKR2o5uJp4PHmjKJIp8N2CVPMVzObGersSdOPbVLUZXAr81bqgI2ygRyS7v0DghbaJ3uicfVcPBnrjXV9rcr8Q==" saltValue="sQfXSfrrnpPZSY+lPsOnzw==" spinCount="100000" sheet="1" objects="1" scenarios="1"/>
  <mergeCells count="28">
    <mergeCell ref="A24:A25"/>
    <mergeCell ref="B24:C24"/>
    <mergeCell ref="B25:C25"/>
    <mergeCell ref="A1:U1"/>
    <mergeCell ref="A2:U2"/>
    <mergeCell ref="E17:E18"/>
    <mergeCell ref="F17:F18"/>
    <mergeCell ref="A20:C20"/>
    <mergeCell ref="B63:G63"/>
    <mergeCell ref="A38:D38"/>
    <mergeCell ref="A44:C44"/>
    <mergeCell ref="A45:C45"/>
    <mergeCell ref="A46:C46"/>
    <mergeCell ref="A48:D48"/>
    <mergeCell ref="A52:G52"/>
    <mergeCell ref="A58:G58"/>
    <mergeCell ref="B59:G59"/>
    <mergeCell ref="B60:G60"/>
    <mergeCell ref="B61:G61"/>
    <mergeCell ref="B62:G62"/>
    <mergeCell ref="B70:G70"/>
    <mergeCell ref="B71:G71"/>
    <mergeCell ref="B64:G64"/>
    <mergeCell ref="B65:G65"/>
    <mergeCell ref="B66:G66"/>
    <mergeCell ref="B67:G67"/>
    <mergeCell ref="B68:G68"/>
    <mergeCell ref="B69:G69"/>
  </mergeCells>
  <dataValidations count="1">
    <dataValidation type="list" allowBlank="1" showInputMessage="1" showErrorMessage="1" sqref="B25" xr:uid="{0FBE67CF-FF18-4AD1-9B8D-8B972CC3F882}">
      <formula1>$B$26:$C$26</formula1>
    </dataValidation>
  </dataValidations>
  <pageMargins left="0.511811024" right="0.511811024" top="0.78740157500000008" bottom="0.78740157500000008" header="0.31496062000000008" footer="0.31496062000000008"/>
  <pageSetup paperSize="9" scale="32" fitToWidth="0" fitToHeight="0" orientation="portrait" r:id="rId1"/>
  <colBreaks count="1" manualBreakCount="1">
    <brk id="14" man="1"/>
  </col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09343-9760-4C4A-9B0F-AC483C9BA29E}">
  <dimension ref="A1:T273"/>
  <sheetViews>
    <sheetView topLeftCell="A126" zoomScale="90" zoomScaleNormal="90" workbookViewId="0">
      <selection activeCell="N164" sqref="N164"/>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9.1796875" style="35" bestFit="1" customWidth="1"/>
    <col min="8" max="8" width="15.81640625" style="35" bestFit="1" customWidth="1"/>
    <col min="9" max="9" width="13.54296875" style="189" bestFit="1" customWidth="1"/>
    <col min="10" max="10" width="15.81640625" style="35" bestFit="1" customWidth="1"/>
    <col min="11" max="11" width="13.54296875" style="35" bestFit="1" customWidth="1"/>
    <col min="12" max="12" width="15.81640625" style="35" bestFit="1" customWidth="1"/>
    <col min="13" max="13" width="13.54296875" style="35" bestFit="1" customWidth="1"/>
    <col min="14" max="14" width="15.81640625" style="35" bestFit="1" customWidth="1"/>
    <col min="15" max="15" width="13.54296875" style="35" bestFit="1" customWidth="1"/>
    <col min="16" max="16" width="15.81640625" style="35" bestFit="1" customWidth="1"/>
    <col min="17" max="17" width="13.54296875" style="35" bestFit="1" customWidth="1"/>
    <col min="18" max="18" width="15.81640625" style="35" bestFit="1" customWidth="1"/>
    <col min="19" max="19" width="13.54296875" style="35" bestFit="1" customWidth="1"/>
    <col min="20" max="20" width="11.7265625" style="35" customWidth="1"/>
    <col min="21" max="16384" width="11.7265625" style="35"/>
  </cols>
  <sheetData>
    <row r="1" spans="1:19" ht="48" customHeight="1">
      <c r="A1" s="385" t="s">
        <v>53</v>
      </c>
      <c r="B1" s="385"/>
      <c r="C1" s="385"/>
      <c r="D1" s="385"/>
      <c r="E1" s="385"/>
      <c r="F1" s="385"/>
      <c r="G1" s="385"/>
      <c r="H1" s="385"/>
      <c r="I1" s="385"/>
      <c r="J1" s="385"/>
      <c r="K1" s="385"/>
      <c r="L1" s="385"/>
      <c r="M1" s="385"/>
      <c r="N1" s="385"/>
      <c r="O1" s="385"/>
      <c r="P1" s="385"/>
      <c r="Q1" s="385"/>
      <c r="R1" s="385"/>
      <c r="S1" s="385"/>
    </row>
    <row r="2" spans="1:19" ht="12.75" customHeight="1">
      <c r="A2" s="349" t="s">
        <v>54</v>
      </c>
      <c r="B2" s="349"/>
      <c r="C2" s="349"/>
      <c r="D2" s="349"/>
      <c r="E2" s="349"/>
      <c r="F2" s="349"/>
      <c r="G2" s="349"/>
      <c r="H2" s="349"/>
      <c r="I2" s="349"/>
      <c r="J2" s="349"/>
      <c r="K2" s="349"/>
      <c r="L2" s="349"/>
      <c r="M2" s="349"/>
      <c r="N2" s="349"/>
      <c r="O2" s="349"/>
      <c r="P2" s="349"/>
      <c r="Q2" s="349"/>
      <c r="R2" s="349"/>
      <c r="S2" s="349"/>
    </row>
    <row r="3" spans="1:19" ht="12.75" customHeight="1">
      <c r="A3" s="349" t="s">
        <v>55</v>
      </c>
      <c r="B3" s="349"/>
      <c r="C3" s="349"/>
      <c r="D3" s="349"/>
      <c r="E3" s="349"/>
      <c r="F3" s="349"/>
      <c r="G3" s="349"/>
      <c r="H3" s="349"/>
      <c r="I3" s="349"/>
      <c r="J3" s="349"/>
      <c r="K3" s="349"/>
      <c r="L3" s="349"/>
      <c r="M3" s="349"/>
      <c r="N3" s="349"/>
      <c r="O3" s="349"/>
      <c r="P3" s="349"/>
      <c r="Q3" s="349"/>
      <c r="R3" s="349"/>
      <c r="S3" s="349"/>
    </row>
    <row r="4" spans="1:19" ht="12.75" customHeight="1">
      <c r="A4" s="350" t="s">
        <v>56</v>
      </c>
      <c r="B4" s="350"/>
      <c r="C4" s="350"/>
      <c r="D4" s="350"/>
      <c r="E4" s="350"/>
      <c r="F4" s="350"/>
      <c r="G4" s="350"/>
      <c r="H4" s="350"/>
      <c r="I4" s="350"/>
      <c r="J4" s="350"/>
      <c r="K4" s="350"/>
      <c r="L4" s="350"/>
      <c r="M4" s="350"/>
      <c r="N4" s="350"/>
      <c r="O4" s="350"/>
      <c r="P4" s="350"/>
      <c r="Q4" s="350"/>
      <c r="R4" s="350"/>
      <c r="S4" s="350"/>
    </row>
    <row r="5" spans="1:19" ht="12.75" customHeight="1">
      <c r="A5" s="351"/>
      <c r="B5" s="351"/>
      <c r="C5" s="351"/>
      <c r="D5" s="351"/>
      <c r="E5" s="351"/>
      <c r="F5" s="351"/>
      <c r="G5" s="351"/>
      <c r="H5" s="351"/>
      <c r="I5" s="351"/>
    </row>
    <row r="6" spans="1:19" ht="21" customHeight="1" thickBot="1">
      <c r="A6" s="352" t="s">
        <v>57</v>
      </c>
      <c r="B6" s="352"/>
      <c r="C6" s="352"/>
      <c r="D6" s="352"/>
      <c r="E6" s="352"/>
      <c r="F6" s="352"/>
      <c r="G6" s="352"/>
      <c r="H6" s="352"/>
      <c r="I6" s="352"/>
      <c r="J6" s="352"/>
      <c r="K6" s="352"/>
      <c r="L6" s="352"/>
      <c r="M6" s="352"/>
      <c r="N6" s="352"/>
      <c r="O6" s="352"/>
      <c r="P6" s="352"/>
      <c r="Q6" s="352"/>
      <c r="R6" s="352"/>
      <c r="S6" s="352"/>
    </row>
    <row r="7" spans="1:19" ht="12.75" customHeight="1">
      <c r="A7" s="36" t="s">
        <v>58</v>
      </c>
      <c r="B7" s="302" t="s">
        <v>59</v>
      </c>
      <c r="C7" s="303"/>
      <c r="D7" s="303"/>
      <c r="E7" s="303"/>
      <c r="F7" s="303"/>
      <c r="G7" s="284"/>
      <c r="H7" s="346">
        <f ca="1">'DADOS BÁSICOS 3º ANO'!$A$4</f>
        <v>44344</v>
      </c>
      <c r="I7" s="346"/>
      <c r="J7" s="346">
        <f ca="1">'DADOS BÁSICOS 3º ANO'!$A$4</f>
        <v>44344</v>
      </c>
      <c r="K7" s="346"/>
      <c r="L7" s="346">
        <f ca="1">'DADOS BÁSICOS 3º ANO'!$A$4</f>
        <v>44344</v>
      </c>
      <c r="M7" s="346"/>
      <c r="N7" s="346">
        <f ca="1">'DADOS BÁSICOS 3º ANO'!$A$4</f>
        <v>44344</v>
      </c>
      <c r="O7" s="346"/>
      <c r="P7" s="346">
        <f ca="1">'DADOS BÁSICOS 3º ANO'!$A$4</f>
        <v>44344</v>
      </c>
      <c r="Q7" s="346"/>
      <c r="R7" s="346">
        <f ca="1">'DADOS BÁSICOS 3º ANO'!$A$4</f>
        <v>44344</v>
      </c>
      <c r="S7" s="346"/>
    </row>
    <row r="8" spans="1:19" ht="12.75" customHeight="1">
      <c r="A8" s="36" t="s">
        <v>60</v>
      </c>
      <c r="B8" s="286" t="s">
        <v>61</v>
      </c>
      <c r="C8" s="286"/>
      <c r="D8" s="286"/>
      <c r="E8" s="286"/>
      <c r="F8" s="286"/>
      <c r="G8" s="286"/>
      <c r="H8" s="345" t="str">
        <f>'DADOS BÁSICOS 3º ANO'!A8</f>
        <v>Curitiba/PR</v>
      </c>
      <c r="I8" s="345"/>
      <c r="J8" s="387" t="str">
        <f>'DADOS BÁSICOS 3º ANO'!A9</f>
        <v>Guarapuava/PR</v>
      </c>
      <c r="K8" s="387"/>
      <c r="L8" s="387" t="str">
        <f>'DADOS BÁSICOS 3º ANO'!A10</f>
        <v>Londrina/PR</v>
      </c>
      <c r="M8" s="387"/>
      <c r="N8" s="387" t="str">
        <f>'DADOS BÁSICOS 3º ANO'!A11</f>
        <v>Maringá/PR</v>
      </c>
      <c r="O8" s="387"/>
      <c r="P8" s="387" t="str">
        <f>'DADOS BÁSICOS 3º ANO'!A12</f>
        <v>Paranaguá/PR</v>
      </c>
      <c r="Q8" s="387"/>
      <c r="R8" s="387" t="str">
        <f>'DADOS BÁSICOS 3º ANO'!A13</f>
        <v>Ponta Grossa/PR</v>
      </c>
      <c r="S8" s="387"/>
    </row>
    <row r="9" spans="1:19" ht="12.75" customHeight="1">
      <c r="A9" s="36" t="s">
        <v>62</v>
      </c>
      <c r="B9" s="286" t="s">
        <v>63</v>
      </c>
      <c r="C9" s="286"/>
      <c r="D9" s="286"/>
      <c r="E9" s="286"/>
      <c r="F9" s="286"/>
      <c r="G9" s="286"/>
      <c r="H9" s="344" t="str">
        <f>'DADOS BÁSICOS 3º ANO'!D8</f>
        <v>PR000326/2021</v>
      </c>
      <c r="I9" s="344"/>
      <c r="J9" s="344" t="str">
        <f>'DADOS BÁSICOS 3º ANO'!D9</f>
        <v>PR000326/2021</v>
      </c>
      <c r="K9" s="344"/>
      <c r="L9" s="344" t="str">
        <f>'DADOS BÁSICOS 3º ANO'!D10</f>
        <v>PR000326/2021</v>
      </c>
      <c r="M9" s="344"/>
      <c r="N9" s="344" t="str">
        <f>'DADOS BÁSICOS 3º ANO'!D11</f>
        <v>PR000326/2021</v>
      </c>
      <c r="O9" s="344"/>
      <c r="P9" s="344" t="str">
        <f>'DADOS BÁSICOS 3º ANO'!D12</f>
        <v>PR000326/2021</v>
      </c>
      <c r="Q9" s="344"/>
      <c r="R9" s="344" t="str">
        <f>'DADOS BÁSICOS 3º ANO'!D13</f>
        <v>PR000326/2021</v>
      </c>
      <c r="S9" s="344"/>
    </row>
    <row r="10" spans="1:19" ht="12.75" customHeight="1">
      <c r="A10" s="36" t="s">
        <v>64</v>
      </c>
      <c r="B10" s="286" t="s">
        <v>65</v>
      </c>
      <c r="C10" s="286"/>
      <c r="D10" s="286"/>
      <c r="E10" s="286"/>
      <c r="F10" s="286"/>
      <c r="G10" s="286"/>
      <c r="H10" s="344">
        <f>'DADOS BÁSICOS 3º ANO'!$E$17</f>
        <v>12</v>
      </c>
      <c r="I10" s="344"/>
      <c r="J10" s="344">
        <f>'DADOS BÁSICOS 3º ANO'!$E$17</f>
        <v>12</v>
      </c>
      <c r="K10" s="344"/>
      <c r="L10" s="344">
        <f>'DADOS BÁSICOS 3º ANO'!$E$17</f>
        <v>12</v>
      </c>
      <c r="M10" s="344"/>
      <c r="N10" s="344">
        <f>'DADOS BÁSICOS 3º ANO'!$E$17</f>
        <v>12</v>
      </c>
      <c r="O10" s="344"/>
      <c r="P10" s="344">
        <f>'DADOS BÁSICOS 3º ANO'!$E$17</f>
        <v>12</v>
      </c>
      <c r="Q10" s="344"/>
      <c r="R10" s="344">
        <f>'DADOS BÁSICOS 3º ANO'!$E$17</f>
        <v>12</v>
      </c>
      <c r="S10" s="344"/>
    </row>
    <row r="11" spans="1:19" ht="12.75" customHeight="1">
      <c r="A11" s="36" t="s">
        <v>66</v>
      </c>
      <c r="B11" s="286" t="s">
        <v>67</v>
      </c>
      <c r="C11" s="286"/>
      <c r="D11" s="286"/>
      <c r="E11" s="286"/>
      <c r="F11" s="286"/>
      <c r="G11" s="286"/>
      <c r="H11" s="344">
        <f>'DADOS BÁSICOS 3º ANO'!B8</f>
        <v>46</v>
      </c>
      <c r="I11" s="344"/>
      <c r="J11" s="344">
        <f>'DADOS BÁSICOS 3º ANO'!B9</f>
        <v>4</v>
      </c>
      <c r="K11" s="344"/>
      <c r="L11" s="344">
        <f>'DADOS BÁSICOS 3º ANO'!B10</f>
        <v>14</v>
      </c>
      <c r="M11" s="344"/>
      <c r="N11" s="344">
        <f>'DADOS BÁSICOS 3º ANO'!B11</f>
        <v>12</v>
      </c>
      <c r="O11" s="344"/>
      <c r="P11" s="344">
        <f>'DADOS BÁSICOS 3º ANO'!B12</f>
        <v>6</v>
      </c>
      <c r="Q11" s="344"/>
      <c r="R11" s="344">
        <f>'DADOS BÁSICOS 3º ANO'!B13</f>
        <v>4</v>
      </c>
      <c r="S11" s="344"/>
    </row>
    <row r="12" spans="1:19" ht="12.75" customHeight="1">
      <c r="A12" s="37" t="s">
        <v>68</v>
      </c>
      <c r="B12" s="38"/>
      <c r="C12" s="38"/>
      <c r="D12" s="38"/>
      <c r="E12" s="38"/>
      <c r="F12" s="38"/>
      <c r="G12" s="38"/>
      <c r="H12" s="39"/>
      <c r="I12" s="40"/>
      <c r="J12" s="39"/>
      <c r="K12" s="40"/>
      <c r="L12" s="39"/>
      <c r="M12" s="40"/>
      <c r="N12" s="39"/>
      <c r="O12" s="40"/>
      <c r="P12" s="39"/>
      <c r="Q12" s="40"/>
      <c r="R12" s="39"/>
      <c r="S12" s="40"/>
    </row>
    <row r="13" spans="1:19" ht="27" customHeight="1">
      <c r="A13" s="36">
        <v>1</v>
      </c>
      <c r="B13" s="286" t="s">
        <v>69</v>
      </c>
      <c r="C13" s="286"/>
      <c r="D13" s="286"/>
      <c r="E13" s="286"/>
      <c r="F13" s="286"/>
      <c r="G13" s="286"/>
      <c r="H13" s="343" t="s">
        <v>70</v>
      </c>
      <c r="I13" s="343"/>
      <c r="J13" s="343" t="s">
        <v>70</v>
      </c>
      <c r="K13" s="343"/>
      <c r="L13" s="343" t="s">
        <v>70</v>
      </c>
      <c r="M13" s="343"/>
      <c r="N13" s="343" t="s">
        <v>70</v>
      </c>
      <c r="O13" s="343"/>
      <c r="P13" s="343" t="s">
        <v>70</v>
      </c>
      <c r="Q13" s="343"/>
      <c r="R13" s="343" t="s">
        <v>70</v>
      </c>
      <c r="S13" s="343"/>
    </row>
    <row r="14" spans="1:19" ht="12.75" customHeight="1">
      <c r="A14" s="36">
        <v>2</v>
      </c>
      <c r="B14" s="286" t="s">
        <v>71</v>
      </c>
      <c r="C14" s="286"/>
      <c r="D14" s="286"/>
      <c r="E14" s="286"/>
      <c r="F14" s="286"/>
      <c r="G14" s="286"/>
      <c r="H14" s="342" t="str">
        <f>'DADOS BÁSICOS 3º ANO'!$A$17</f>
        <v>4221-05</v>
      </c>
      <c r="I14" s="342"/>
      <c r="J14" s="342" t="str">
        <f>'DADOS BÁSICOS 3º ANO'!$A$17</f>
        <v>4221-05</v>
      </c>
      <c r="K14" s="342"/>
      <c r="L14" s="342" t="str">
        <f>'DADOS BÁSICOS 3º ANO'!$A$17</f>
        <v>4221-05</v>
      </c>
      <c r="M14" s="342"/>
      <c r="N14" s="342" t="str">
        <f>'DADOS BÁSICOS 3º ANO'!$A$17</f>
        <v>4221-05</v>
      </c>
      <c r="O14" s="342"/>
      <c r="P14" s="342" t="str">
        <f>'DADOS BÁSICOS 3º ANO'!$A$17</f>
        <v>4221-05</v>
      </c>
      <c r="Q14" s="342"/>
      <c r="R14" s="342" t="str">
        <f>'DADOS BÁSICOS 3º ANO'!$A$17</f>
        <v>4221-05</v>
      </c>
      <c r="S14" s="342"/>
    </row>
    <row r="15" spans="1:19" ht="15" customHeight="1">
      <c r="A15" s="36">
        <v>4</v>
      </c>
      <c r="B15" s="286" t="s">
        <v>73</v>
      </c>
      <c r="C15" s="286"/>
      <c r="D15" s="286"/>
      <c r="E15" s="286"/>
      <c r="F15" s="286"/>
      <c r="G15" s="286"/>
      <c r="H15" s="342" t="str">
        <f>'DADOS BÁSICOS 3º ANO'!$B$17</f>
        <v>Recepcionista</v>
      </c>
      <c r="I15" s="342"/>
      <c r="J15" s="342" t="str">
        <f>'DADOS BÁSICOS 3º ANO'!$B$17</f>
        <v>Recepcionista</v>
      </c>
      <c r="K15" s="342"/>
      <c r="L15" s="342" t="str">
        <f>'DADOS BÁSICOS 3º ANO'!$B$17</f>
        <v>Recepcionista</v>
      </c>
      <c r="M15" s="342"/>
      <c r="N15" s="342" t="str">
        <f>'DADOS BÁSICOS 3º ANO'!$B$17</f>
        <v>Recepcionista</v>
      </c>
      <c r="O15" s="342"/>
      <c r="P15" s="342" t="str">
        <f>'DADOS BÁSICOS 3º ANO'!$B$17</f>
        <v>Recepcionista</v>
      </c>
      <c r="Q15" s="342"/>
      <c r="R15" s="342" t="str">
        <f>'DADOS BÁSICOS 3º ANO'!$B$17</f>
        <v>Recepcionista</v>
      </c>
      <c r="S15" s="342"/>
    </row>
    <row r="16" spans="1:19" ht="12.75" customHeight="1">
      <c r="A16" s="41">
        <v>5</v>
      </c>
      <c r="B16" s="286" t="s">
        <v>74</v>
      </c>
      <c r="C16" s="286"/>
      <c r="D16" s="286"/>
      <c r="E16" s="286"/>
      <c r="F16" s="286"/>
      <c r="G16" s="286"/>
      <c r="H16" s="384">
        <f>'DADOS BÁSICOS 3º ANO'!E8</f>
        <v>44228</v>
      </c>
      <c r="I16" s="384"/>
      <c r="J16" s="384">
        <f>'DADOS BÁSICOS 3º ANO'!E9</f>
        <v>44228</v>
      </c>
      <c r="K16" s="384"/>
      <c r="L16" s="384">
        <f>'DADOS BÁSICOS 3º ANO'!E10</f>
        <v>44228</v>
      </c>
      <c r="M16" s="384"/>
      <c r="N16" s="384">
        <f>'DADOS BÁSICOS 3º ANO'!E11</f>
        <v>44228</v>
      </c>
      <c r="O16" s="384"/>
      <c r="P16" s="384">
        <f>'DADOS BÁSICOS 3º ANO'!E12</f>
        <v>44228</v>
      </c>
      <c r="Q16" s="384"/>
      <c r="R16" s="384">
        <f>'DADOS BÁSICOS 3º ANO'!E13</f>
        <v>44228</v>
      </c>
      <c r="S16" s="384"/>
    </row>
    <row r="17" spans="1:19" ht="12.75" customHeight="1">
      <c r="A17" s="36">
        <v>3</v>
      </c>
      <c r="B17" s="286" t="s">
        <v>72</v>
      </c>
      <c r="C17" s="286"/>
      <c r="D17" s="286"/>
      <c r="E17" s="286"/>
      <c r="F17" s="286"/>
      <c r="G17" s="286"/>
      <c r="H17" s="383">
        <f>'DADOS BÁSICOS 3º ANO'!H8</f>
        <v>1516.66</v>
      </c>
      <c r="I17" s="383"/>
      <c r="J17" s="383">
        <f>'DADOS BÁSICOS 3º ANO'!H9</f>
        <v>1516.66</v>
      </c>
      <c r="K17" s="383"/>
      <c r="L17" s="383">
        <f>'DADOS BÁSICOS 3º ANO'!H10</f>
        <v>1516.66</v>
      </c>
      <c r="M17" s="383"/>
      <c r="N17" s="383">
        <f>'DADOS BÁSICOS 3º ANO'!H11</f>
        <v>1516.66</v>
      </c>
      <c r="O17" s="383"/>
      <c r="P17" s="383">
        <f>'DADOS BÁSICOS 3º ANO'!H12</f>
        <v>1516.66</v>
      </c>
      <c r="Q17" s="383"/>
      <c r="R17" s="383">
        <f>'DADOS BÁSICOS 3º ANO'!H13</f>
        <v>1516.66</v>
      </c>
      <c r="S17" s="383"/>
    </row>
    <row r="18" spans="1:19" ht="12.75" customHeight="1">
      <c r="A18" s="43">
        <v>6</v>
      </c>
      <c r="B18" s="284" t="s">
        <v>233</v>
      </c>
      <c r="C18" s="284"/>
      <c r="D18" s="284"/>
      <c r="E18" s="284"/>
      <c r="F18" s="284"/>
      <c r="G18" s="284"/>
      <c r="H18" s="382">
        <f>'DADOS BÁSICOS 3º ANO'!G8</f>
        <v>220</v>
      </c>
      <c r="I18" s="382"/>
      <c r="J18" s="336">
        <f>'DADOS BÁSICOS 3º ANO'!G9</f>
        <v>220</v>
      </c>
      <c r="K18" s="337"/>
      <c r="L18" s="336">
        <f>'DADOS BÁSICOS 3º ANO'!G10</f>
        <v>220</v>
      </c>
      <c r="M18" s="337"/>
      <c r="N18" s="336">
        <f>'DADOS BÁSICOS 3º ANO'!G11</f>
        <v>220</v>
      </c>
      <c r="O18" s="337"/>
      <c r="P18" s="336">
        <f>'DADOS BÁSICOS 3º ANO'!G12</f>
        <v>220</v>
      </c>
      <c r="Q18" s="337"/>
      <c r="R18" s="336">
        <f>'DADOS BÁSICOS 3º ANO'!G13</f>
        <v>220</v>
      </c>
      <c r="S18" s="337"/>
    </row>
    <row r="19" spans="1:19" ht="12.75" customHeight="1">
      <c r="A19" s="43">
        <v>6</v>
      </c>
      <c r="B19" s="303" t="s">
        <v>234</v>
      </c>
      <c r="C19" s="303"/>
      <c r="D19" s="303"/>
      <c r="E19" s="303"/>
      <c r="F19" s="303"/>
      <c r="G19" s="284"/>
      <c r="H19" s="336">
        <f>'DADOS BÁSICOS 3º ANO'!$C$17</f>
        <v>200</v>
      </c>
      <c r="I19" s="337"/>
      <c r="J19" s="336">
        <f>'DADOS BÁSICOS 3º ANO'!$C$17</f>
        <v>200</v>
      </c>
      <c r="K19" s="337"/>
      <c r="L19" s="336">
        <f>'DADOS BÁSICOS 3º ANO'!$C$17</f>
        <v>200</v>
      </c>
      <c r="M19" s="337"/>
      <c r="N19" s="336">
        <f>'DADOS BÁSICOS 3º ANO'!$C$17</f>
        <v>200</v>
      </c>
      <c r="O19" s="337"/>
      <c r="P19" s="336">
        <f>'DADOS BÁSICOS 3º ANO'!$C$17</f>
        <v>200</v>
      </c>
      <c r="Q19" s="337"/>
      <c r="R19" s="336">
        <f>'DADOS BÁSICOS 3º ANO'!$C$17</f>
        <v>200</v>
      </c>
      <c r="S19" s="337"/>
    </row>
    <row r="20" spans="1:19" ht="12.75" customHeight="1">
      <c r="A20" s="43">
        <v>7</v>
      </c>
      <c r="B20" s="284" t="s">
        <v>75</v>
      </c>
      <c r="C20" s="284"/>
      <c r="D20" s="284"/>
      <c r="E20" s="284"/>
      <c r="F20" s="284"/>
      <c r="G20" s="284"/>
      <c r="H20" s="336">
        <f>'DADOS BÁSICOS 3º ANO'!$F$17</f>
        <v>22</v>
      </c>
      <c r="I20" s="337"/>
      <c r="J20" s="336">
        <f>'DADOS BÁSICOS 3º ANO'!$F$17</f>
        <v>22</v>
      </c>
      <c r="K20" s="337"/>
      <c r="L20" s="336">
        <f>'DADOS BÁSICOS 3º ANO'!$F$17</f>
        <v>22</v>
      </c>
      <c r="M20" s="337"/>
      <c r="N20" s="336">
        <f>'DADOS BÁSICOS 3º ANO'!$F$17</f>
        <v>22</v>
      </c>
      <c r="O20" s="337"/>
      <c r="P20" s="336">
        <f>'DADOS BÁSICOS 3º ANO'!$F$17</f>
        <v>22</v>
      </c>
      <c r="Q20" s="337"/>
      <c r="R20" s="336">
        <f>'DADOS BÁSICOS 3º ANO'!$F$17</f>
        <v>22</v>
      </c>
      <c r="S20" s="337"/>
    </row>
    <row r="21" spans="1:19">
      <c r="A21" s="44" t="s">
        <v>76</v>
      </c>
      <c r="B21" s="38"/>
      <c r="C21" s="38"/>
      <c r="D21" s="38"/>
      <c r="E21" s="38"/>
      <c r="F21" s="38"/>
      <c r="G21" s="38"/>
      <c r="H21" s="39"/>
      <c r="I21" s="40"/>
      <c r="J21" s="39"/>
      <c r="K21" s="40"/>
      <c r="L21" s="39"/>
      <c r="M21" s="40"/>
      <c r="N21" s="39"/>
      <c r="O21" s="40"/>
      <c r="P21" s="39"/>
      <c r="Q21" s="40"/>
      <c r="R21" s="39"/>
      <c r="S21" s="40"/>
    </row>
    <row r="22" spans="1:19" ht="12.75" customHeight="1">
      <c r="A22" s="45">
        <v>1</v>
      </c>
      <c r="B22" s="288" t="s">
        <v>77</v>
      </c>
      <c r="C22" s="288"/>
      <c r="D22" s="288"/>
      <c r="E22" s="288"/>
      <c r="F22" s="288"/>
      <c r="G22" s="288"/>
      <c r="H22" s="46" t="s">
        <v>78</v>
      </c>
      <c r="I22" s="47" t="s">
        <v>79</v>
      </c>
      <c r="J22" s="46" t="s">
        <v>78</v>
      </c>
      <c r="K22" s="47" t="s">
        <v>79</v>
      </c>
      <c r="L22" s="46" t="s">
        <v>78</v>
      </c>
      <c r="M22" s="47" t="s">
        <v>79</v>
      </c>
      <c r="N22" s="46" t="s">
        <v>78</v>
      </c>
      <c r="O22" s="47" t="s">
        <v>79</v>
      </c>
      <c r="P22" s="46" t="s">
        <v>78</v>
      </c>
      <c r="Q22" s="47" t="s">
        <v>79</v>
      </c>
      <c r="R22" s="46" t="s">
        <v>78</v>
      </c>
      <c r="S22" s="47" t="s">
        <v>79</v>
      </c>
    </row>
    <row r="23" spans="1:19" ht="12.75" customHeight="1">
      <c r="A23" s="36" t="s">
        <v>58</v>
      </c>
      <c r="B23" s="286" t="s">
        <v>235</v>
      </c>
      <c r="C23" s="286"/>
      <c r="D23" s="286"/>
      <c r="E23" s="286"/>
      <c r="F23" s="286"/>
      <c r="G23" s="286"/>
      <c r="H23" s="48"/>
      <c r="I23" s="57">
        <f>(H$17/'DADOS BÁSICOS 3º ANO'!$G8)*'DADOS BÁSICOS 3º ANO'!$C$17</f>
        <v>1378.78</v>
      </c>
      <c r="J23" s="48"/>
      <c r="K23" s="57">
        <f>(J$17/'DADOS BÁSICOS 3º ANO'!$G9)*'DADOS BÁSICOS 3º ANO'!$C$17</f>
        <v>1378.78</v>
      </c>
      <c r="L23" s="48"/>
      <c r="M23" s="57">
        <f>(L$17/'DADOS BÁSICOS 3º ANO'!$G10)*'DADOS BÁSICOS 3º ANO'!$C$17</f>
        <v>1378.78</v>
      </c>
      <c r="N23" s="48"/>
      <c r="O23" s="57">
        <f>(N$17/'DADOS BÁSICOS 3º ANO'!$G11)*'DADOS BÁSICOS 3º ANO'!$C$17</f>
        <v>1378.78</v>
      </c>
      <c r="P23" s="48"/>
      <c r="Q23" s="57">
        <f>(P$17/'DADOS BÁSICOS 3º ANO'!$G12)*'DADOS BÁSICOS 3º ANO'!$C$17</f>
        <v>1378.78</v>
      </c>
      <c r="R23" s="48"/>
      <c r="S23" s="57">
        <f>(R$17/'DADOS BÁSICOS 3º ANO'!$G13)*'DADOS BÁSICOS 3º ANO'!$C$17</f>
        <v>1378.78</v>
      </c>
    </row>
    <row r="24" spans="1:19" ht="12.75" customHeight="1">
      <c r="A24" s="36" t="s">
        <v>60</v>
      </c>
      <c r="B24" s="335" t="s">
        <v>80</v>
      </c>
      <c r="C24" s="335"/>
      <c r="D24" s="335"/>
      <c r="E24" s="335"/>
      <c r="F24" s="335"/>
      <c r="G24" s="335"/>
      <c r="H24" s="50">
        <v>0.3</v>
      </c>
      <c r="I24" s="71">
        <f>I23*H24</f>
        <v>413.63</v>
      </c>
      <c r="J24" s="50">
        <v>0.3</v>
      </c>
      <c r="K24" s="71">
        <f>K23*J24</f>
        <v>413.63</v>
      </c>
      <c r="L24" s="50">
        <v>0.3</v>
      </c>
      <c r="M24" s="71">
        <f>M23*L24</f>
        <v>413.63</v>
      </c>
      <c r="N24" s="50">
        <v>0.3</v>
      </c>
      <c r="O24" s="71">
        <f>O23*N24</f>
        <v>413.63</v>
      </c>
      <c r="P24" s="50">
        <v>0.3</v>
      </c>
      <c r="Q24" s="71">
        <f>Q23*P24</f>
        <v>413.63</v>
      </c>
      <c r="R24" s="50">
        <v>0.3</v>
      </c>
      <c r="S24" s="71">
        <f>S23*R24</f>
        <v>413.63</v>
      </c>
    </row>
    <row r="25" spans="1:19" s="55" customFormat="1" ht="12.75" customHeight="1">
      <c r="A25" s="52" t="s">
        <v>62</v>
      </c>
      <c r="B25" s="335" t="s">
        <v>81</v>
      </c>
      <c r="C25" s="335"/>
      <c r="D25" s="335"/>
      <c r="E25" s="335"/>
      <c r="F25" s="335"/>
      <c r="G25" s="335"/>
      <c r="H25" s="53"/>
      <c r="I25" s="54"/>
      <c r="J25" s="53"/>
      <c r="K25" s="54"/>
      <c r="L25" s="53"/>
      <c r="M25" s="54"/>
      <c r="N25" s="53"/>
      <c r="O25" s="54"/>
      <c r="P25" s="53"/>
      <c r="Q25" s="54"/>
      <c r="R25" s="53"/>
      <c r="S25" s="54"/>
    </row>
    <row r="26" spans="1:19" s="55" customFormat="1" ht="12.75" customHeight="1">
      <c r="A26" s="52" t="s">
        <v>64</v>
      </c>
      <c r="B26" s="286" t="s">
        <v>82</v>
      </c>
      <c r="C26" s="286"/>
      <c r="D26" s="286"/>
      <c r="E26" s="286"/>
      <c r="F26" s="286"/>
      <c r="G26" s="286"/>
      <c r="H26" s="56"/>
      <c r="I26" s="57"/>
      <c r="J26" s="56"/>
      <c r="K26" s="57"/>
      <c r="L26" s="56"/>
      <c r="M26" s="57"/>
      <c r="N26" s="56"/>
      <c r="O26" s="57"/>
      <c r="P26" s="56"/>
      <c r="Q26" s="57"/>
      <c r="R26" s="56"/>
      <c r="S26" s="57"/>
    </row>
    <row r="27" spans="1:19" s="55" customFormat="1" ht="12.75" customHeight="1">
      <c r="A27" s="52" t="s">
        <v>66</v>
      </c>
      <c r="B27" s="286" t="s">
        <v>83</v>
      </c>
      <c r="C27" s="286"/>
      <c r="D27" s="286"/>
      <c r="E27" s="326"/>
      <c r="F27" s="326"/>
      <c r="G27" s="326"/>
      <c r="H27" s="58"/>
      <c r="I27" s="57"/>
      <c r="J27" s="58"/>
      <c r="K27" s="57"/>
      <c r="L27" s="58"/>
      <c r="M27" s="57"/>
      <c r="N27" s="58"/>
      <c r="O27" s="57"/>
      <c r="P27" s="58"/>
      <c r="Q27" s="57"/>
      <c r="R27" s="58"/>
      <c r="S27" s="57"/>
    </row>
    <row r="28" spans="1:19" s="55" customFormat="1" ht="12.75" customHeight="1">
      <c r="A28" s="59" t="s">
        <v>84</v>
      </c>
      <c r="B28" s="327" t="s">
        <v>171</v>
      </c>
      <c r="C28" s="328"/>
      <c r="D28" s="328"/>
      <c r="E28" s="329" t="s">
        <v>172</v>
      </c>
      <c r="F28" s="330"/>
      <c r="G28" s="331"/>
      <c r="H28" s="60">
        <f>'DADOS BÁSICOS 3º ANO'!$C$22</f>
        <v>1.05</v>
      </c>
      <c r="I28" s="57">
        <f>(((I23+I24)/H19)*(1.5))*H28</f>
        <v>14.12</v>
      </c>
      <c r="J28" s="60">
        <f>'DADOS BÁSICOS 3º ANO'!$C$22</f>
        <v>1.05</v>
      </c>
      <c r="K28" s="57">
        <f>(((K23+K24)/J19)*(1.5))*J28</f>
        <v>14.12</v>
      </c>
      <c r="L28" s="60">
        <f>'DADOS BÁSICOS 3º ANO'!$C$22</f>
        <v>1.05</v>
      </c>
      <c r="M28" s="57">
        <f>(((M23+M24)/L19)*(1.5))*L28</f>
        <v>14.12</v>
      </c>
      <c r="N28" s="60">
        <f>'DADOS BÁSICOS 3º ANO'!$C$22</f>
        <v>1.05</v>
      </c>
      <c r="O28" s="57">
        <f>(((O23+O24)/N19)*(1.5))*N28</f>
        <v>14.12</v>
      </c>
      <c r="P28" s="60">
        <f>'DADOS BÁSICOS 3º ANO'!$C$22</f>
        <v>1.05</v>
      </c>
      <c r="Q28" s="57">
        <f>(((Q23+Q24)/P19)*(1.5))*P28</f>
        <v>14.12</v>
      </c>
      <c r="R28" s="60">
        <f>'DADOS BÁSICOS 3º ANO'!$C$22</f>
        <v>1.05</v>
      </c>
      <c r="S28" s="57">
        <f>(((S23+S24)/R19)*(1.5))*R28</f>
        <v>14.12</v>
      </c>
    </row>
    <row r="29" spans="1:19" s="55" customFormat="1" ht="12.75" customHeight="1">
      <c r="A29" s="332" t="s">
        <v>85</v>
      </c>
      <c r="B29" s="332"/>
      <c r="C29" s="332"/>
      <c r="D29" s="332"/>
      <c r="E29" s="333"/>
      <c r="F29" s="333"/>
      <c r="G29" s="333"/>
      <c r="H29" s="61"/>
      <c r="I29" s="62">
        <f>SUM(I23:I28)</f>
        <v>1806.53</v>
      </c>
      <c r="J29" s="61"/>
      <c r="K29" s="62">
        <f>SUM(K23:K28)</f>
        <v>1806.53</v>
      </c>
      <c r="L29" s="61"/>
      <c r="M29" s="62">
        <f>SUM(M23:M28)</f>
        <v>1806.53</v>
      </c>
      <c r="N29" s="61"/>
      <c r="O29" s="62">
        <f>SUM(O23:O28)</f>
        <v>1806.53</v>
      </c>
      <c r="P29" s="61"/>
      <c r="Q29" s="62">
        <f>SUM(Q23:Q28)</f>
        <v>1806.53</v>
      </c>
      <c r="R29" s="61"/>
      <c r="S29" s="62">
        <f>SUM(S23:S28)</f>
        <v>1806.53</v>
      </c>
    </row>
    <row r="30" spans="1:19">
      <c r="A30" s="37" t="s">
        <v>86</v>
      </c>
      <c r="B30" s="63"/>
      <c r="C30" s="63"/>
      <c r="D30" s="63"/>
      <c r="E30" s="63"/>
      <c r="F30" s="63"/>
      <c r="G30" s="63"/>
      <c r="H30" s="64"/>
      <c r="I30" s="65"/>
      <c r="J30" s="64"/>
      <c r="K30" s="65"/>
      <c r="L30" s="64"/>
      <c r="M30" s="65"/>
      <c r="N30" s="64"/>
      <c r="O30" s="65"/>
      <c r="P30" s="64"/>
      <c r="Q30" s="65"/>
      <c r="R30" s="64"/>
      <c r="S30" s="65"/>
    </row>
    <row r="31" spans="1:19" ht="18" customHeight="1">
      <c r="A31" s="66" t="s">
        <v>87</v>
      </c>
      <c r="B31" s="334" t="s">
        <v>88</v>
      </c>
      <c r="C31" s="334"/>
      <c r="D31" s="334"/>
      <c r="E31" s="334"/>
      <c r="F31" s="334"/>
      <c r="G31" s="334"/>
      <c r="H31" s="67" t="s">
        <v>89</v>
      </c>
      <c r="I31" s="68" t="s">
        <v>79</v>
      </c>
      <c r="J31" s="67" t="s">
        <v>89</v>
      </c>
      <c r="K31" s="68" t="s">
        <v>79</v>
      </c>
      <c r="L31" s="67" t="s">
        <v>89</v>
      </c>
      <c r="M31" s="68" t="s">
        <v>79</v>
      </c>
      <c r="N31" s="67" t="s">
        <v>89</v>
      </c>
      <c r="O31" s="68" t="s">
        <v>79</v>
      </c>
      <c r="P31" s="67" t="s">
        <v>89</v>
      </c>
      <c r="Q31" s="68" t="s">
        <v>79</v>
      </c>
      <c r="R31" s="67" t="s">
        <v>89</v>
      </c>
      <c r="S31" s="68" t="s">
        <v>79</v>
      </c>
    </row>
    <row r="32" spans="1:19" ht="16.5" customHeight="1">
      <c r="A32" s="69" t="s">
        <v>58</v>
      </c>
      <c r="B32" s="286" t="s">
        <v>90</v>
      </c>
      <c r="C32" s="286"/>
      <c r="D32" s="286"/>
      <c r="E32" s="286"/>
      <c r="F32" s="286"/>
      <c r="G32" s="286"/>
      <c r="H32" s="70">
        <f>1/12</f>
        <v>8.3299999999999999E-2</v>
      </c>
      <c r="I32" s="71">
        <f>I$29*H$32</f>
        <v>150.47999999999999</v>
      </c>
      <c r="J32" s="70">
        <f t="shared" ref="J32" si="0">1/12</f>
        <v>8.3299999999999999E-2</v>
      </c>
      <c r="K32" s="71">
        <f t="shared" ref="K32" si="1">K$29*J$32</f>
        <v>150.47999999999999</v>
      </c>
      <c r="L32" s="70">
        <f t="shared" ref="L32" si="2">1/12</f>
        <v>8.3299999999999999E-2</v>
      </c>
      <c r="M32" s="71">
        <f t="shared" ref="M32" si="3">M$29*L$32</f>
        <v>150.47999999999999</v>
      </c>
      <c r="N32" s="70">
        <f t="shared" ref="N32" si="4">1/12</f>
        <v>8.3299999999999999E-2</v>
      </c>
      <c r="O32" s="71">
        <f t="shared" ref="O32" si="5">O$29*N$32</f>
        <v>150.47999999999999</v>
      </c>
      <c r="P32" s="70">
        <f t="shared" ref="P32" si="6">1/12</f>
        <v>8.3299999999999999E-2</v>
      </c>
      <c r="Q32" s="71">
        <f t="shared" ref="Q32" si="7">Q$29*P$32</f>
        <v>150.47999999999999</v>
      </c>
      <c r="R32" s="70">
        <f t="shared" ref="R32" si="8">1/12</f>
        <v>8.3299999999999999E-2</v>
      </c>
      <c r="S32" s="71">
        <f t="shared" ref="S32" si="9">S$29*R$32</f>
        <v>150.47999999999999</v>
      </c>
    </row>
    <row r="33" spans="1:20" ht="16.5" customHeight="1">
      <c r="A33" s="69" t="s">
        <v>60</v>
      </c>
      <c r="B33" s="286" t="s">
        <v>91</v>
      </c>
      <c r="C33" s="286"/>
      <c r="D33" s="286"/>
      <c r="E33" s="286"/>
      <c r="F33" s="286"/>
      <c r="G33" s="286"/>
      <c r="H33" s="70">
        <f>SUM(H34:H39)</f>
        <v>0.13639999999999999</v>
      </c>
      <c r="I33" s="71">
        <f>SUM(I34:I39)</f>
        <v>246.41</v>
      </c>
      <c r="J33" s="70">
        <f t="shared" ref="J33:S33" si="10">SUM(J34:J39)</f>
        <v>0.13639999999999999</v>
      </c>
      <c r="K33" s="71">
        <f t="shared" si="10"/>
        <v>246.41</v>
      </c>
      <c r="L33" s="70">
        <f t="shared" si="10"/>
        <v>0.13639999999999999</v>
      </c>
      <c r="M33" s="71">
        <f t="shared" si="10"/>
        <v>246.41</v>
      </c>
      <c r="N33" s="70">
        <f t="shared" si="10"/>
        <v>0.13639999999999999</v>
      </c>
      <c r="O33" s="71">
        <f t="shared" si="10"/>
        <v>246.41</v>
      </c>
      <c r="P33" s="70">
        <f t="shared" si="10"/>
        <v>0.13639999999999999</v>
      </c>
      <c r="Q33" s="71">
        <f t="shared" si="10"/>
        <v>246.41</v>
      </c>
      <c r="R33" s="70">
        <f t="shared" si="10"/>
        <v>0.13639999999999999</v>
      </c>
      <c r="S33" s="71">
        <f t="shared" si="10"/>
        <v>246.41</v>
      </c>
    </row>
    <row r="34" spans="1:20" ht="16.5" customHeight="1">
      <c r="A34" s="69"/>
      <c r="B34" s="69" t="s">
        <v>183</v>
      </c>
      <c r="C34" s="302" t="s">
        <v>188</v>
      </c>
      <c r="D34" s="303"/>
      <c r="E34" s="303"/>
      <c r="F34" s="303"/>
      <c r="G34" s="284"/>
      <c r="H34" s="70">
        <f>(1/3)/12</f>
        <v>2.7799999999999998E-2</v>
      </c>
      <c r="I34" s="71">
        <f t="shared" ref="I34:I39" si="11">I$29*H34</f>
        <v>50.22</v>
      </c>
      <c r="J34" s="70">
        <f t="shared" ref="J34" si="12">(1/3)/12</f>
        <v>2.7799999999999998E-2</v>
      </c>
      <c r="K34" s="71">
        <f t="shared" ref="K34" si="13">K$29*J34</f>
        <v>50.22</v>
      </c>
      <c r="L34" s="70">
        <f t="shared" ref="L34" si="14">(1/3)/12</f>
        <v>2.7799999999999998E-2</v>
      </c>
      <c r="M34" s="71">
        <f t="shared" ref="M34" si="15">M$29*L34</f>
        <v>50.22</v>
      </c>
      <c r="N34" s="70">
        <f t="shared" ref="N34" si="16">(1/3)/12</f>
        <v>2.7799999999999998E-2</v>
      </c>
      <c r="O34" s="71">
        <f t="shared" ref="O34" si="17">O$29*N34</f>
        <v>50.22</v>
      </c>
      <c r="P34" s="70">
        <f t="shared" ref="P34" si="18">(1/3)/12</f>
        <v>2.7799999999999998E-2</v>
      </c>
      <c r="Q34" s="71">
        <f t="shared" ref="Q34" si="19">Q$29*P34</f>
        <v>50.22</v>
      </c>
      <c r="R34" s="70">
        <f t="shared" ref="R34" si="20">(1/3)/12</f>
        <v>2.7799999999999998E-2</v>
      </c>
      <c r="S34" s="71">
        <f t="shared" ref="S34:S39" si="21">S$29*R34</f>
        <v>50.22</v>
      </c>
    </row>
    <row r="35" spans="1:20" ht="16.5" customHeight="1">
      <c r="A35" s="72"/>
      <c r="B35" s="72" t="s">
        <v>184</v>
      </c>
      <c r="C35" s="320" t="s">
        <v>205</v>
      </c>
      <c r="D35" s="321"/>
      <c r="E35" s="321"/>
      <c r="F35" s="321"/>
      <c r="G35" s="322"/>
      <c r="H35" s="73">
        <f>1/12</f>
        <v>8.3299999999999999E-2</v>
      </c>
      <c r="I35" s="246">
        <f t="shared" si="11"/>
        <v>150.47999999999999</v>
      </c>
      <c r="J35" s="73">
        <f t="shared" ref="J35" si="22">1/12</f>
        <v>8.3299999999999999E-2</v>
      </c>
      <c r="K35" s="246">
        <f t="shared" ref="K35" si="23">K$29*J35</f>
        <v>150.47999999999999</v>
      </c>
      <c r="L35" s="73">
        <f t="shared" ref="L35" si="24">1/12</f>
        <v>8.3299999999999999E-2</v>
      </c>
      <c r="M35" s="246">
        <f t="shared" ref="M35" si="25">M$29*L35</f>
        <v>150.47999999999999</v>
      </c>
      <c r="N35" s="73">
        <f t="shared" ref="N35" si="26">1/12</f>
        <v>8.3299999999999999E-2</v>
      </c>
      <c r="O35" s="246">
        <f t="shared" ref="O35" si="27">O$29*N35</f>
        <v>150.47999999999999</v>
      </c>
      <c r="P35" s="73">
        <f t="shared" ref="P35" si="28">1/12</f>
        <v>8.3299999999999999E-2</v>
      </c>
      <c r="Q35" s="246">
        <f t="shared" ref="Q35" si="29">Q$29*P35</f>
        <v>150.47999999999999</v>
      </c>
      <c r="R35" s="73">
        <f t="shared" ref="R35" si="30">1/12</f>
        <v>8.3299999999999999E-2</v>
      </c>
      <c r="S35" s="246">
        <f t="shared" si="21"/>
        <v>150.47999999999999</v>
      </c>
    </row>
    <row r="36" spans="1:20" ht="16.5" customHeight="1">
      <c r="A36" s="72"/>
      <c r="B36" s="72" t="s">
        <v>266</v>
      </c>
      <c r="C36" s="320" t="s">
        <v>267</v>
      </c>
      <c r="D36" s="321"/>
      <c r="E36" s="321"/>
      <c r="F36" s="321"/>
      <c r="G36" s="322"/>
      <c r="H36" s="73">
        <f>(1/11)/12</f>
        <v>7.6E-3</v>
      </c>
      <c r="I36" s="74">
        <f t="shared" si="11"/>
        <v>13.73</v>
      </c>
      <c r="J36" s="73">
        <f t="shared" ref="J36" si="31">(1/11)/12</f>
        <v>7.6E-3</v>
      </c>
      <c r="K36" s="74">
        <f t="shared" ref="K36" si="32">K$29*J36</f>
        <v>13.73</v>
      </c>
      <c r="L36" s="73">
        <f t="shared" ref="L36" si="33">(1/11)/12</f>
        <v>7.6E-3</v>
      </c>
      <c r="M36" s="74">
        <f t="shared" ref="M36" si="34">M$29*L36</f>
        <v>13.73</v>
      </c>
      <c r="N36" s="73">
        <f t="shared" ref="N36" si="35">(1/11)/12</f>
        <v>7.6E-3</v>
      </c>
      <c r="O36" s="74">
        <f t="shared" ref="O36" si="36">O$29*N36</f>
        <v>13.73</v>
      </c>
      <c r="P36" s="73">
        <f t="shared" ref="P36" si="37">(1/11)/12</f>
        <v>7.6E-3</v>
      </c>
      <c r="Q36" s="74">
        <f t="shared" ref="Q36" si="38">Q$29*P36</f>
        <v>13.73</v>
      </c>
      <c r="R36" s="73">
        <f t="shared" ref="R36" si="39">(1/11)/12</f>
        <v>7.6E-3</v>
      </c>
      <c r="S36" s="74">
        <f t="shared" si="21"/>
        <v>13.73</v>
      </c>
    </row>
    <row r="37" spans="1:20" ht="16.5" customHeight="1">
      <c r="A37" s="76"/>
      <c r="B37" s="76" t="s">
        <v>185</v>
      </c>
      <c r="C37" s="323" t="s">
        <v>206</v>
      </c>
      <c r="D37" s="324"/>
      <c r="E37" s="324"/>
      <c r="F37" s="324"/>
      <c r="G37" s="325"/>
      <c r="H37" s="77">
        <f>((H11/11)/12)/H11</f>
        <v>7.6E-3</v>
      </c>
      <c r="I37" s="226">
        <f t="shared" si="11"/>
        <v>13.73</v>
      </c>
      <c r="J37" s="77">
        <f t="shared" ref="J37" si="40">((J11/11)/12)/J11</f>
        <v>7.6E-3</v>
      </c>
      <c r="K37" s="226">
        <f t="shared" ref="K37" si="41">K$29*J37</f>
        <v>13.73</v>
      </c>
      <c r="L37" s="77">
        <f t="shared" ref="L37" si="42">((L11/11)/12)/L11</f>
        <v>7.6E-3</v>
      </c>
      <c r="M37" s="226">
        <f t="shared" ref="M37" si="43">M$29*L37</f>
        <v>13.73</v>
      </c>
      <c r="N37" s="77">
        <f t="shared" ref="N37" si="44">((N11/11)/12)/N11</f>
        <v>7.6E-3</v>
      </c>
      <c r="O37" s="226">
        <f t="shared" ref="O37" si="45">O$29*N37</f>
        <v>13.73</v>
      </c>
      <c r="P37" s="77">
        <f t="shared" ref="P37" si="46">((P11/11)/12)/P11</f>
        <v>7.6E-3</v>
      </c>
      <c r="Q37" s="226">
        <f t="shared" ref="Q37" si="47">Q$29*P37</f>
        <v>13.73</v>
      </c>
      <c r="R37" s="77">
        <f t="shared" ref="R37" si="48">((R11/11)/12)/R11</f>
        <v>7.6E-3</v>
      </c>
      <c r="S37" s="226">
        <f t="shared" si="21"/>
        <v>13.73</v>
      </c>
      <c r="T37" s="164"/>
    </row>
    <row r="38" spans="1:20" ht="16.5" customHeight="1">
      <c r="A38" s="76"/>
      <c r="B38" s="76" t="s">
        <v>186</v>
      </c>
      <c r="C38" s="323" t="s">
        <v>207</v>
      </c>
      <c r="D38" s="324"/>
      <c r="E38" s="324"/>
      <c r="F38" s="324"/>
      <c r="G38" s="325"/>
      <c r="H38" s="77">
        <f>H37/3</f>
        <v>2.5000000000000001E-3</v>
      </c>
      <c r="I38" s="226">
        <f t="shared" si="11"/>
        <v>4.5199999999999996</v>
      </c>
      <c r="J38" s="77">
        <f t="shared" ref="J38" si="49">J37/3</f>
        <v>2.5000000000000001E-3</v>
      </c>
      <c r="K38" s="226">
        <f t="shared" ref="K38" si="50">K$29*J38</f>
        <v>4.5199999999999996</v>
      </c>
      <c r="L38" s="77">
        <f t="shared" ref="L38" si="51">L37/3</f>
        <v>2.5000000000000001E-3</v>
      </c>
      <c r="M38" s="226">
        <f t="shared" ref="M38" si="52">M$29*L38</f>
        <v>4.5199999999999996</v>
      </c>
      <c r="N38" s="77">
        <f t="shared" ref="N38" si="53">N37/3</f>
        <v>2.5000000000000001E-3</v>
      </c>
      <c r="O38" s="226">
        <f t="shared" ref="O38" si="54">O$29*N38</f>
        <v>4.5199999999999996</v>
      </c>
      <c r="P38" s="77">
        <f t="shared" ref="P38" si="55">P37/3</f>
        <v>2.5000000000000001E-3</v>
      </c>
      <c r="Q38" s="226">
        <f t="shared" ref="Q38" si="56">Q$29*P38</f>
        <v>4.5199999999999996</v>
      </c>
      <c r="R38" s="77">
        <f t="shared" ref="R38" si="57">R37/3</f>
        <v>2.5000000000000001E-3</v>
      </c>
      <c r="S38" s="226">
        <f t="shared" si="21"/>
        <v>4.5199999999999996</v>
      </c>
    </row>
    <row r="39" spans="1:20" ht="16.5" customHeight="1">
      <c r="A39" s="76"/>
      <c r="B39" s="76" t="s">
        <v>187</v>
      </c>
      <c r="C39" s="323" t="s">
        <v>208</v>
      </c>
      <c r="D39" s="324"/>
      <c r="E39" s="324"/>
      <c r="F39" s="324"/>
      <c r="G39" s="325"/>
      <c r="H39" s="77">
        <f>((H11/11)/12)/H11</f>
        <v>7.6E-3</v>
      </c>
      <c r="I39" s="226">
        <f t="shared" si="11"/>
        <v>13.73</v>
      </c>
      <c r="J39" s="77">
        <f t="shared" ref="J39" si="58">((J11/11)/12)/J11</f>
        <v>7.6E-3</v>
      </c>
      <c r="K39" s="226">
        <f t="shared" ref="K39" si="59">K$29*J39</f>
        <v>13.73</v>
      </c>
      <c r="L39" s="77">
        <f t="shared" ref="L39" si="60">((L11/11)/12)/L11</f>
        <v>7.6E-3</v>
      </c>
      <c r="M39" s="226">
        <f t="shared" ref="M39" si="61">M$29*L39</f>
        <v>13.73</v>
      </c>
      <c r="N39" s="77">
        <f t="shared" ref="N39" si="62">((N11/11)/12)/N11</f>
        <v>7.6E-3</v>
      </c>
      <c r="O39" s="226">
        <f t="shared" ref="O39" si="63">O$29*N39</f>
        <v>13.73</v>
      </c>
      <c r="P39" s="77">
        <f t="shared" ref="P39" si="64">((P11/11)/12)/P11</f>
        <v>7.6E-3</v>
      </c>
      <c r="Q39" s="226">
        <f t="shared" ref="Q39" si="65">Q$29*P39</f>
        <v>13.73</v>
      </c>
      <c r="R39" s="77">
        <f t="shared" ref="R39" si="66">((R11/11)/12)/R11</f>
        <v>7.6E-3</v>
      </c>
      <c r="S39" s="226">
        <f t="shared" si="21"/>
        <v>13.73</v>
      </c>
    </row>
    <row r="40" spans="1:20">
      <c r="A40" s="287" t="s">
        <v>85</v>
      </c>
      <c r="B40" s="287"/>
      <c r="C40" s="287"/>
      <c r="D40" s="287"/>
      <c r="E40" s="287"/>
      <c r="F40" s="287"/>
      <c r="G40" s="287"/>
      <c r="H40" s="79">
        <f>SUM(H32:H33)</f>
        <v>0.21970000000000001</v>
      </c>
      <c r="I40" s="80">
        <f>SUM(I32:I33)</f>
        <v>396.89</v>
      </c>
      <c r="J40" s="79">
        <f t="shared" ref="J40:S40" si="67">SUM(J32:J33)</f>
        <v>0.21970000000000001</v>
      </c>
      <c r="K40" s="80">
        <f t="shared" si="67"/>
        <v>396.89</v>
      </c>
      <c r="L40" s="79">
        <f t="shared" si="67"/>
        <v>0.21970000000000001</v>
      </c>
      <c r="M40" s="80">
        <f t="shared" si="67"/>
        <v>396.89</v>
      </c>
      <c r="N40" s="79">
        <f t="shared" si="67"/>
        <v>0.21970000000000001</v>
      </c>
      <c r="O40" s="80">
        <f t="shared" si="67"/>
        <v>396.89</v>
      </c>
      <c r="P40" s="79">
        <f t="shared" si="67"/>
        <v>0.21970000000000001</v>
      </c>
      <c r="Q40" s="80">
        <f t="shared" si="67"/>
        <v>396.89</v>
      </c>
      <c r="R40" s="79">
        <f t="shared" si="67"/>
        <v>0.21970000000000001</v>
      </c>
      <c r="S40" s="80">
        <f t="shared" si="67"/>
        <v>396.89</v>
      </c>
    </row>
    <row r="41" spans="1:20">
      <c r="A41" s="304" t="s">
        <v>92</v>
      </c>
      <c r="B41" s="304"/>
      <c r="C41" s="304"/>
      <c r="D41" s="304"/>
      <c r="E41" s="304"/>
      <c r="F41" s="304"/>
      <c r="G41" s="304"/>
      <c r="H41" s="81" t="s">
        <v>93</v>
      </c>
      <c r="I41" s="82">
        <f>I29</f>
        <v>1806.53</v>
      </c>
      <c r="J41" s="81" t="s">
        <v>94</v>
      </c>
      <c r="K41" s="82">
        <f>K29</f>
        <v>1806.53</v>
      </c>
      <c r="L41" s="81" t="s">
        <v>95</v>
      </c>
      <c r="M41" s="82">
        <f>M29</f>
        <v>1806.53</v>
      </c>
      <c r="N41" s="81" t="s">
        <v>96</v>
      </c>
      <c r="O41" s="82">
        <f>O29</f>
        <v>1806.53</v>
      </c>
      <c r="P41" s="81" t="s">
        <v>97</v>
      </c>
      <c r="Q41" s="82">
        <f>Q29</f>
        <v>1806.53</v>
      </c>
      <c r="R41" s="81" t="s">
        <v>98</v>
      </c>
      <c r="S41" s="82">
        <f>S29</f>
        <v>1806.53</v>
      </c>
    </row>
    <row r="42" spans="1:20">
      <c r="A42" s="304"/>
      <c r="B42" s="304"/>
      <c r="C42" s="304"/>
      <c r="D42" s="304"/>
      <c r="E42" s="304"/>
      <c r="F42" s="304"/>
      <c r="G42" s="304"/>
      <c r="H42" s="81" t="s">
        <v>99</v>
      </c>
      <c r="I42" s="82">
        <f>I40</f>
        <v>396.89</v>
      </c>
      <c r="J42" s="81" t="s">
        <v>100</v>
      </c>
      <c r="K42" s="82">
        <f>K40</f>
        <v>396.89</v>
      </c>
      <c r="L42" s="81" t="s">
        <v>101</v>
      </c>
      <c r="M42" s="82">
        <f>M40</f>
        <v>396.89</v>
      </c>
      <c r="N42" s="81" t="s">
        <v>102</v>
      </c>
      <c r="O42" s="82">
        <f>O40</f>
        <v>396.89</v>
      </c>
      <c r="P42" s="81" t="s">
        <v>103</v>
      </c>
      <c r="Q42" s="82">
        <f>Q40</f>
        <v>396.89</v>
      </c>
      <c r="R42" s="81" t="s">
        <v>104</v>
      </c>
      <c r="S42" s="82">
        <f>S40</f>
        <v>396.89</v>
      </c>
    </row>
    <row r="43" spans="1:20">
      <c r="A43" s="304"/>
      <c r="B43" s="304"/>
      <c r="C43" s="304"/>
      <c r="D43" s="304"/>
      <c r="E43" s="304"/>
      <c r="F43" s="304"/>
      <c r="G43" s="304"/>
      <c r="H43" s="81" t="s">
        <v>85</v>
      </c>
      <c r="I43" s="82">
        <f>SUM(I41:I42)</f>
        <v>2203.42</v>
      </c>
      <c r="J43" s="81" t="s">
        <v>85</v>
      </c>
      <c r="K43" s="82">
        <f>SUM(K41:K42)</f>
        <v>2203.42</v>
      </c>
      <c r="L43" s="81" t="s">
        <v>85</v>
      </c>
      <c r="M43" s="82">
        <f>SUM(M41:M42)</f>
        <v>2203.42</v>
      </c>
      <c r="N43" s="81" t="s">
        <v>85</v>
      </c>
      <c r="O43" s="82">
        <f>SUM(O41:O42)</f>
        <v>2203.42</v>
      </c>
      <c r="P43" s="81" t="s">
        <v>85</v>
      </c>
      <c r="Q43" s="82">
        <f>SUM(Q41:Q42)</f>
        <v>2203.42</v>
      </c>
      <c r="R43" s="81" t="s">
        <v>85</v>
      </c>
      <c r="S43" s="82">
        <f>SUM(S41:S42)</f>
        <v>2203.42</v>
      </c>
    </row>
    <row r="44" spans="1:20" ht="33" customHeight="1">
      <c r="A44" s="37" t="s">
        <v>105</v>
      </c>
      <c r="B44" s="63"/>
      <c r="C44" s="63"/>
      <c r="D44" s="63"/>
      <c r="E44" s="63"/>
      <c r="F44" s="63"/>
      <c r="G44" s="63"/>
      <c r="H44" s="64"/>
      <c r="I44" s="65"/>
      <c r="J44" s="64"/>
      <c r="K44" s="65"/>
      <c r="L44" s="64"/>
      <c r="M44" s="65"/>
      <c r="N44" s="64"/>
      <c r="O44" s="65"/>
      <c r="P44" s="64"/>
      <c r="Q44" s="65"/>
      <c r="R44" s="64"/>
      <c r="S44" s="65"/>
    </row>
    <row r="45" spans="1:20" ht="19.5" customHeight="1">
      <c r="A45" s="83" t="s">
        <v>106</v>
      </c>
      <c r="B45" s="288" t="s">
        <v>107</v>
      </c>
      <c r="C45" s="288"/>
      <c r="D45" s="288"/>
      <c r="E45" s="288"/>
      <c r="F45" s="288"/>
      <c r="G45" s="288"/>
      <c r="H45" s="67" t="s">
        <v>89</v>
      </c>
      <c r="I45" s="84" t="s">
        <v>79</v>
      </c>
      <c r="J45" s="67" t="s">
        <v>89</v>
      </c>
      <c r="K45" s="84" t="s">
        <v>79</v>
      </c>
      <c r="L45" s="67" t="s">
        <v>89</v>
      </c>
      <c r="M45" s="84" t="s">
        <v>79</v>
      </c>
      <c r="N45" s="67" t="s">
        <v>89</v>
      </c>
      <c r="O45" s="84" t="s">
        <v>79</v>
      </c>
      <c r="P45" s="67" t="s">
        <v>89</v>
      </c>
      <c r="Q45" s="84" t="s">
        <v>79</v>
      </c>
      <c r="R45" s="67" t="s">
        <v>89</v>
      </c>
      <c r="S45" s="84" t="s">
        <v>79</v>
      </c>
    </row>
    <row r="46" spans="1:20" ht="12.75" customHeight="1">
      <c r="A46" s="85" t="s">
        <v>58</v>
      </c>
      <c r="B46" s="286" t="s">
        <v>32</v>
      </c>
      <c r="C46" s="286"/>
      <c r="D46" s="286"/>
      <c r="E46" s="286"/>
      <c r="F46" s="286"/>
      <c r="G46" s="286"/>
      <c r="H46" s="50">
        <f>IF('DADOS BÁSICOS 3º ANO'!$B$25="LUCRO PRESUMIDO",'DADOS BÁSICOS 3º ANO'!$B$29,'DADOS BÁSICOS 3º ANO'!$C$29)</f>
        <v>0.2</v>
      </c>
      <c r="I46" s="71">
        <f>I43*H46</f>
        <v>440.68</v>
      </c>
      <c r="J46" s="50">
        <f>IF('DADOS BÁSICOS 3º ANO'!$B$25="LUCRO PRESUMIDO",'DADOS BÁSICOS 3º ANO'!$B$29,'DADOS BÁSICOS 3º ANO'!$C$29)</f>
        <v>0.2</v>
      </c>
      <c r="K46" s="71">
        <f>K43*J46</f>
        <v>440.68</v>
      </c>
      <c r="L46" s="50">
        <f>IF('DADOS BÁSICOS 3º ANO'!$B$25="LUCRO PRESUMIDO",'DADOS BÁSICOS 3º ANO'!$B$29,'DADOS BÁSICOS 3º ANO'!$C$29)</f>
        <v>0.2</v>
      </c>
      <c r="M46" s="71">
        <f>M43*L46</f>
        <v>440.68</v>
      </c>
      <c r="N46" s="50">
        <f>IF('DADOS BÁSICOS 3º ANO'!$B$25="LUCRO PRESUMIDO",'DADOS BÁSICOS 3º ANO'!$B$29,'DADOS BÁSICOS 3º ANO'!$C$29)</f>
        <v>0.2</v>
      </c>
      <c r="O46" s="71">
        <f>O43*N46</f>
        <v>440.68</v>
      </c>
      <c r="P46" s="50">
        <f>IF('DADOS BÁSICOS 3º ANO'!$B$25="LUCRO PRESUMIDO",'DADOS BÁSICOS 3º ANO'!$B$29,'DADOS BÁSICOS 3º ANO'!$C$29)</f>
        <v>0.2</v>
      </c>
      <c r="Q46" s="71">
        <f>Q43*P46</f>
        <v>440.68</v>
      </c>
      <c r="R46" s="50">
        <f>IF('DADOS BÁSICOS 3º ANO'!$B$25="LUCRO PRESUMIDO",'DADOS BÁSICOS 3º ANO'!$B$29,'DADOS BÁSICOS 3º ANO'!$C$29)</f>
        <v>0.2</v>
      </c>
      <c r="S46" s="71">
        <f>S43*R46</f>
        <v>440.68</v>
      </c>
    </row>
    <row r="47" spans="1:20" ht="12.75" customHeight="1">
      <c r="A47" s="85" t="s">
        <v>60</v>
      </c>
      <c r="B47" s="286" t="s">
        <v>108</v>
      </c>
      <c r="C47" s="286"/>
      <c r="D47" s="286"/>
      <c r="E47" s="286"/>
      <c r="F47" s="286"/>
      <c r="G47" s="286"/>
      <c r="H47" s="50">
        <f>IF('DADOS BÁSICOS 3º ANO'!$B$25="LUCRO PRESUMIDO",'DADOS BÁSICOS 3º ANO'!$B$30,'DADOS BÁSICOS 3º ANO'!$C$30)</f>
        <v>2.5000000000000001E-2</v>
      </c>
      <c r="I47" s="71">
        <f>I43*H47</f>
        <v>55.09</v>
      </c>
      <c r="J47" s="50">
        <f>IF('DADOS BÁSICOS 3º ANO'!$B$25="LUCRO PRESUMIDO",'DADOS BÁSICOS 3º ANO'!$B$30,'DADOS BÁSICOS 3º ANO'!$C$30)</f>
        <v>2.5000000000000001E-2</v>
      </c>
      <c r="K47" s="71">
        <f>K43*J47</f>
        <v>55.09</v>
      </c>
      <c r="L47" s="50">
        <f>IF('DADOS BÁSICOS 3º ANO'!$B$25="LUCRO PRESUMIDO",'DADOS BÁSICOS 3º ANO'!$B$30,'DADOS BÁSICOS 3º ANO'!$C$30)</f>
        <v>2.5000000000000001E-2</v>
      </c>
      <c r="M47" s="71">
        <f>M43*L47</f>
        <v>55.09</v>
      </c>
      <c r="N47" s="50">
        <f>IF('DADOS BÁSICOS 3º ANO'!$B$25="LUCRO PRESUMIDO",'DADOS BÁSICOS 3º ANO'!$B$30,'DADOS BÁSICOS 3º ANO'!$C$30)</f>
        <v>2.5000000000000001E-2</v>
      </c>
      <c r="O47" s="71">
        <f>O43*N47</f>
        <v>55.09</v>
      </c>
      <c r="P47" s="50">
        <f>IF('DADOS BÁSICOS 3º ANO'!$B$25="LUCRO PRESUMIDO",'DADOS BÁSICOS 3º ANO'!$B$30,'DADOS BÁSICOS 3º ANO'!$C$30)</f>
        <v>2.5000000000000001E-2</v>
      </c>
      <c r="Q47" s="71">
        <f>Q43*P47</f>
        <v>55.09</v>
      </c>
      <c r="R47" s="50">
        <f>IF('DADOS BÁSICOS 3º ANO'!$B$25="LUCRO PRESUMIDO",'DADOS BÁSICOS 3º ANO'!$B$30,'DADOS BÁSICOS 3º ANO'!$C$30)</f>
        <v>2.5000000000000001E-2</v>
      </c>
      <c r="S47" s="71">
        <f>S43*R47</f>
        <v>55.09</v>
      </c>
    </row>
    <row r="48" spans="1:20" ht="17.25" customHeight="1">
      <c r="A48" s="85" t="s">
        <v>62</v>
      </c>
      <c r="B48" s="286" t="s">
        <v>109</v>
      </c>
      <c r="C48" s="286"/>
      <c r="D48" s="286"/>
      <c r="E48" s="286"/>
      <c r="F48" s="286"/>
      <c r="G48" s="286"/>
      <c r="H48" s="50">
        <f>IF('DADOS BÁSICOS 3º ANO'!$B$25="LUCRO PRESUMIDO",'DADOS BÁSICOS 3º ANO'!$B$31,'DADOS BÁSICOS 3º ANO'!$C$31)</f>
        <v>0.03</v>
      </c>
      <c r="I48" s="71">
        <f>I43*H48</f>
        <v>66.099999999999994</v>
      </c>
      <c r="J48" s="50">
        <f>IF('DADOS BÁSICOS 3º ANO'!$B$25="LUCRO PRESUMIDO",'DADOS BÁSICOS 3º ANO'!$B$31,'DADOS BÁSICOS 3º ANO'!$C$31)</f>
        <v>0.03</v>
      </c>
      <c r="K48" s="71">
        <f>K43*J48</f>
        <v>66.099999999999994</v>
      </c>
      <c r="L48" s="50">
        <f>IF('DADOS BÁSICOS 3º ANO'!$B$25="LUCRO PRESUMIDO",'DADOS BÁSICOS 3º ANO'!$B$31,'DADOS BÁSICOS 3º ANO'!$C$31)</f>
        <v>0.03</v>
      </c>
      <c r="M48" s="71">
        <f>M43*L48</f>
        <v>66.099999999999994</v>
      </c>
      <c r="N48" s="50">
        <f>IF('DADOS BÁSICOS 3º ANO'!$B$25="LUCRO PRESUMIDO",'DADOS BÁSICOS 3º ANO'!$B$31,'DADOS BÁSICOS 3º ANO'!$C$31)</f>
        <v>0.03</v>
      </c>
      <c r="O48" s="71">
        <f>O43*N48</f>
        <v>66.099999999999994</v>
      </c>
      <c r="P48" s="50">
        <f>IF('DADOS BÁSICOS 3º ANO'!$B$25="LUCRO PRESUMIDO",'DADOS BÁSICOS 3º ANO'!$B$31,'DADOS BÁSICOS 3º ANO'!$C$31)</f>
        <v>0.03</v>
      </c>
      <c r="Q48" s="71">
        <f>Q43*P48</f>
        <v>66.099999999999994</v>
      </c>
      <c r="R48" s="50">
        <f>IF('DADOS BÁSICOS 3º ANO'!$B$25="LUCRO PRESUMIDO",'DADOS BÁSICOS 3º ANO'!$B$31,'DADOS BÁSICOS 3º ANO'!$C$31)</f>
        <v>0.03</v>
      </c>
      <c r="S48" s="71">
        <f>S43*R48</f>
        <v>66.099999999999994</v>
      </c>
    </row>
    <row r="49" spans="1:20" ht="12.75" customHeight="1">
      <c r="A49" s="85" t="s">
        <v>64</v>
      </c>
      <c r="B49" s="286" t="s">
        <v>35</v>
      </c>
      <c r="C49" s="286"/>
      <c r="D49" s="286"/>
      <c r="E49" s="286"/>
      <c r="F49" s="286"/>
      <c r="G49" s="286"/>
      <c r="H49" s="50">
        <f>IF('DADOS BÁSICOS 3º ANO'!$B$25="LUCRO PRESUMIDO",'DADOS BÁSICOS 3º ANO'!$B$32,'DADOS BÁSICOS 3º ANO'!$C$32)</f>
        <v>1.4999999999999999E-2</v>
      </c>
      <c r="I49" s="71">
        <f>I43*H49</f>
        <v>33.049999999999997</v>
      </c>
      <c r="J49" s="50">
        <f>IF('DADOS BÁSICOS 3º ANO'!$B$25="LUCRO PRESUMIDO",'DADOS BÁSICOS 3º ANO'!$B$32,'DADOS BÁSICOS 3º ANO'!$C$32)</f>
        <v>1.4999999999999999E-2</v>
      </c>
      <c r="K49" s="71">
        <f>K43*J49</f>
        <v>33.049999999999997</v>
      </c>
      <c r="L49" s="50">
        <f>IF('DADOS BÁSICOS 3º ANO'!$B$25="LUCRO PRESUMIDO",'DADOS BÁSICOS 3º ANO'!$B$32,'DADOS BÁSICOS 3º ANO'!$C$32)</f>
        <v>1.4999999999999999E-2</v>
      </c>
      <c r="M49" s="71">
        <f>M43*L49</f>
        <v>33.049999999999997</v>
      </c>
      <c r="N49" s="50">
        <f>IF('DADOS BÁSICOS 3º ANO'!$B$25="LUCRO PRESUMIDO",'DADOS BÁSICOS 3º ANO'!$B$32,'DADOS BÁSICOS 3º ANO'!$C$32)</f>
        <v>1.4999999999999999E-2</v>
      </c>
      <c r="O49" s="71">
        <f>O43*N49</f>
        <v>33.049999999999997</v>
      </c>
      <c r="P49" s="50">
        <f>IF('DADOS BÁSICOS 3º ANO'!$B$25="LUCRO PRESUMIDO",'DADOS BÁSICOS 3º ANO'!$B$32,'DADOS BÁSICOS 3º ANO'!$C$32)</f>
        <v>1.4999999999999999E-2</v>
      </c>
      <c r="Q49" s="71">
        <f>Q43*P49</f>
        <v>33.049999999999997</v>
      </c>
      <c r="R49" s="50">
        <f>IF('DADOS BÁSICOS 3º ANO'!$B$25="LUCRO PRESUMIDO",'DADOS BÁSICOS 3º ANO'!$B$32,'DADOS BÁSICOS 3º ANO'!$C$32)</f>
        <v>1.4999999999999999E-2</v>
      </c>
      <c r="S49" s="71">
        <f>S43*R49</f>
        <v>33.049999999999997</v>
      </c>
    </row>
    <row r="50" spans="1:20" ht="12.75" customHeight="1">
      <c r="A50" s="85" t="s">
        <v>66</v>
      </c>
      <c r="B50" s="286" t="s">
        <v>36</v>
      </c>
      <c r="C50" s="286"/>
      <c r="D50" s="286"/>
      <c r="E50" s="286"/>
      <c r="F50" s="286"/>
      <c r="G50" s="286"/>
      <c r="H50" s="50">
        <f>IF('DADOS BÁSICOS 3º ANO'!$B$25="LUCRO PRESUMIDO",'DADOS BÁSICOS 3º ANO'!$B$33,'DADOS BÁSICOS 3º ANO'!$C$33)</f>
        <v>0.01</v>
      </c>
      <c r="I50" s="71">
        <f>I43*H50</f>
        <v>22.03</v>
      </c>
      <c r="J50" s="50">
        <f>IF('DADOS BÁSICOS 3º ANO'!$B$25="LUCRO PRESUMIDO",'DADOS BÁSICOS 3º ANO'!$B$33,'DADOS BÁSICOS 3º ANO'!$C$33)</f>
        <v>0.01</v>
      </c>
      <c r="K50" s="71">
        <f>K43*J50</f>
        <v>22.03</v>
      </c>
      <c r="L50" s="50">
        <f>IF('DADOS BÁSICOS 3º ANO'!$B$25="LUCRO PRESUMIDO",'DADOS BÁSICOS 3º ANO'!$B$33,'DADOS BÁSICOS 3º ANO'!$C$33)</f>
        <v>0.01</v>
      </c>
      <c r="M50" s="71">
        <f>M43*L50</f>
        <v>22.03</v>
      </c>
      <c r="N50" s="50">
        <f>IF('DADOS BÁSICOS 3º ANO'!$B$25="LUCRO PRESUMIDO",'DADOS BÁSICOS 3º ANO'!$B$33,'DADOS BÁSICOS 3º ANO'!$C$33)</f>
        <v>0.01</v>
      </c>
      <c r="O50" s="71">
        <f>O43*N50</f>
        <v>22.03</v>
      </c>
      <c r="P50" s="50">
        <f>IF('DADOS BÁSICOS 3º ANO'!$B$25="LUCRO PRESUMIDO",'DADOS BÁSICOS 3º ANO'!$B$33,'DADOS BÁSICOS 3º ANO'!$C$33)</f>
        <v>0.01</v>
      </c>
      <c r="Q50" s="71">
        <f>Q43*P50</f>
        <v>22.03</v>
      </c>
      <c r="R50" s="50">
        <f>IF('DADOS BÁSICOS 3º ANO'!$B$25="LUCRO PRESUMIDO",'DADOS BÁSICOS 3º ANO'!$B$33,'DADOS BÁSICOS 3º ANO'!$C$33)</f>
        <v>0.01</v>
      </c>
      <c r="S50" s="71">
        <f>S43*R50</f>
        <v>22.03</v>
      </c>
    </row>
    <row r="51" spans="1:20" ht="12.75" customHeight="1">
      <c r="A51" s="85" t="s">
        <v>84</v>
      </c>
      <c r="B51" s="286" t="s">
        <v>37</v>
      </c>
      <c r="C51" s="286"/>
      <c r="D51" s="286"/>
      <c r="E51" s="286"/>
      <c r="F51" s="286"/>
      <c r="G51" s="286"/>
      <c r="H51" s="50">
        <f>IF('DADOS BÁSICOS 3º ANO'!$B$25="LUCRO PRESUMIDO",'DADOS BÁSICOS 3º ANO'!$B$34,'DADOS BÁSICOS 3º ANO'!$C$34)</f>
        <v>6.0000000000000001E-3</v>
      </c>
      <c r="I51" s="71">
        <f>I43*H51</f>
        <v>13.22</v>
      </c>
      <c r="J51" s="50">
        <f>IF('DADOS BÁSICOS 3º ANO'!$B$25="LUCRO PRESUMIDO",'DADOS BÁSICOS 3º ANO'!$B$34,'DADOS BÁSICOS 3º ANO'!$C$34)</f>
        <v>6.0000000000000001E-3</v>
      </c>
      <c r="K51" s="71">
        <f>K43*J51</f>
        <v>13.22</v>
      </c>
      <c r="L51" s="50">
        <f>IF('DADOS BÁSICOS 3º ANO'!$B$25="LUCRO PRESUMIDO",'DADOS BÁSICOS 3º ANO'!$B$34,'DADOS BÁSICOS 3º ANO'!$C$34)</f>
        <v>6.0000000000000001E-3</v>
      </c>
      <c r="M51" s="71">
        <f>M43*L51</f>
        <v>13.22</v>
      </c>
      <c r="N51" s="50">
        <f>IF('DADOS BÁSICOS 3º ANO'!$B$25="LUCRO PRESUMIDO",'DADOS BÁSICOS 3º ANO'!$B$34,'DADOS BÁSICOS 3º ANO'!$C$34)</f>
        <v>6.0000000000000001E-3</v>
      </c>
      <c r="O51" s="71">
        <f>O43*N51</f>
        <v>13.22</v>
      </c>
      <c r="P51" s="50">
        <f>IF('DADOS BÁSICOS 3º ANO'!$B$25="LUCRO PRESUMIDO",'DADOS BÁSICOS 3º ANO'!$B$34,'DADOS BÁSICOS 3º ANO'!$C$34)</f>
        <v>6.0000000000000001E-3</v>
      </c>
      <c r="Q51" s="71">
        <f>Q43*P51</f>
        <v>13.22</v>
      </c>
      <c r="R51" s="50">
        <f>IF('DADOS BÁSICOS 3º ANO'!$B$25="LUCRO PRESUMIDO",'DADOS BÁSICOS 3º ANO'!$B$34,'DADOS BÁSICOS 3º ANO'!$C$34)</f>
        <v>6.0000000000000001E-3</v>
      </c>
      <c r="S51" s="71">
        <f>S43*R51</f>
        <v>13.22</v>
      </c>
    </row>
    <row r="52" spans="1:20" ht="12.75" customHeight="1">
      <c r="A52" s="85" t="s">
        <v>110</v>
      </c>
      <c r="B52" s="286" t="s">
        <v>38</v>
      </c>
      <c r="C52" s="286"/>
      <c r="D52" s="286"/>
      <c r="E52" s="286"/>
      <c r="F52" s="286"/>
      <c r="G52" s="286"/>
      <c r="H52" s="50">
        <f>IF('DADOS BÁSICOS 3º ANO'!$B$25="LUCRO PRESUMIDO",'DADOS BÁSICOS 3º ANO'!$B$35,'DADOS BÁSICOS 3º ANO'!$C$35)</f>
        <v>2E-3</v>
      </c>
      <c r="I52" s="71">
        <f>I43*H52</f>
        <v>4.41</v>
      </c>
      <c r="J52" s="50">
        <f>IF('DADOS BÁSICOS 3º ANO'!$B$25="LUCRO PRESUMIDO",'DADOS BÁSICOS 3º ANO'!$B$35,'DADOS BÁSICOS 3º ANO'!$C$35)</f>
        <v>2E-3</v>
      </c>
      <c r="K52" s="71">
        <f>K43*J52</f>
        <v>4.41</v>
      </c>
      <c r="L52" s="50">
        <f>IF('DADOS BÁSICOS 3º ANO'!$B$25="LUCRO PRESUMIDO",'DADOS BÁSICOS 3º ANO'!$B$35,'DADOS BÁSICOS 3º ANO'!$C$35)</f>
        <v>2E-3</v>
      </c>
      <c r="M52" s="71">
        <f>M43*L52</f>
        <v>4.41</v>
      </c>
      <c r="N52" s="50">
        <f>IF('DADOS BÁSICOS 3º ANO'!$B$25="LUCRO PRESUMIDO",'DADOS BÁSICOS 3º ANO'!$B$35,'DADOS BÁSICOS 3º ANO'!$C$35)</f>
        <v>2E-3</v>
      </c>
      <c r="O52" s="71">
        <f>O43*N52</f>
        <v>4.41</v>
      </c>
      <c r="P52" s="50">
        <f>IF('DADOS BÁSICOS 3º ANO'!$B$25="LUCRO PRESUMIDO",'DADOS BÁSICOS 3º ANO'!$B$35,'DADOS BÁSICOS 3º ANO'!$C$35)</f>
        <v>2E-3</v>
      </c>
      <c r="Q52" s="71">
        <f>Q43*P52</f>
        <v>4.41</v>
      </c>
      <c r="R52" s="50">
        <f>IF('DADOS BÁSICOS 3º ANO'!$B$25="LUCRO PRESUMIDO",'DADOS BÁSICOS 3º ANO'!$B$35,'DADOS BÁSICOS 3º ANO'!$C$35)</f>
        <v>2E-3</v>
      </c>
      <c r="S52" s="71">
        <f>S43*R52</f>
        <v>4.41</v>
      </c>
    </row>
    <row r="53" spans="1:20" ht="12.75" customHeight="1">
      <c r="A53" s="86" t="s">
        <v>111</v>
      </c>
      <c r="B53" s="286" t="s">
        <v>39</v>
      </c>
      <c r="C53" s="286"/>
      <c r="D53" s="286"/>
      <c r="E53" s="286"/>
      <c r="F53" s="286"/>
      <c r="G53" s="286"/>
      <c r="H53" s="50">
        <f>IF('DADOS BÁSICOS 3º ANO'!$B$25="LUCRO PRESUMIDO",'DADOS BÁSICOS 3º ANO'!$B$36,'DADOS BÁSICOS 3º ANO'!$C$36)</f>
        <v>0.08</v>
      </c>
      <c r="I53" s="71">
        <f>I43*H53</f>
        <v>176.27</v>
      </c>
      <c r="J53" s="50">
        <f>IF('DADOS BÁSICOS 3º ANO'!$B$25="LUCRO PRESUMIDO",'DADOS BÁSICOS 3º ANO'!$B$36,'DADOS BÁSICOS 3º ANO'!$C$36)</f>
        <v>0.08</v>
      </c>
      <c r="K53" s="71">
        <f>K43*J53</f>
        <v>176.27</v>
      </c>
      <c r="L53" s="50">
        <f>IF('DADOS BÁSICOS 3º ANO'!$B$25="LUCRO PRESUMIDO",'DADOS BÁSICOS 3º ANO'!$B$36,'DADOS BÁSICOS 3º ANO'!$C$36)</f>
        <v>0.08</v>
      </c>
      <c r="M53" s="71">
        <f>M43*L53</f>
        <v>176.27</v>
      </c>
      <c r="N53" s="50">
        <f>IF('DADOS BÁSICOS 3º ANO'!$B$25="LUCRO PRESUMIDO",'DADOS BÁSICOS 3º ANO'!$B$36,'DADOS BÁSICOS 3º ANO'!$C$36)</f>
        <v>0.08</v>
      </c>
      <c r="O53" s="71">
        <f>O43*N53</f>
        <v>176.27</v>
      </c>
      <c r="P53" s="50">
        <f>IF('DADOS BÁSICOS 3º ANO'!$B$25="LUCRO PRESUMIDO",'DADOS BÁSICOS 3º ANO'!$B$36,'DADOS BÁSICOS 3º ANO'!$C$36)</f>
        <v>0.08</v>
      </c>
      <c r="Q53" s="71">
        <f>Q43*P53</f>
        <v>176.27</v>
      </c>
      <c r="R53" s="50">
        <f>IF('DADOS BÁSICOS 3º ANO'!$B$25="LUCRO PRESUMIDO",'DADOS BÁSICOS 3º ANO'!$B$36,'DADOS BÁSICOS 3º ANO'!$C$36)</f>
        <v>0.08</v>
      </c>
      <c r="S53" s="71">
        <f>S43*R53</f>
        <v>176.27</v>
      </c>
    </row>
    <row r="54" spans="1:20" ht="18.75" customHeight="1">
      <c r="A54" s="287" t="s">
        <v>85</v>
      </c>
      <c r="B54" s="287"/>
      <c r="C54" s="287"/>
      <c r="D54" s="287"/>
      <c r="E54" s="287"/>
      <c r="F54" s="287"/>
      <c r="G54" s="287"/>
      <c r="H54" s="87">
        <f>SUM(H46:H53)</f>
        <v>0.36799999999999999</v>
      </c>
      <c r="I54" s="80">
        <f t="shared" ref="I54" si="68">SUM(I46:I53)</f>
        <v>810.85</v>
      </c>
      <c r="J54" s="87">
        <f t="shared" ref="J54:S54" si="69">SUM(J46:J53)</f>
        <v>0.36799999999999999</v>
      </c>
      <c r="K54" s="80">
        <f t="shared" si="69"/>
        <v>810.85</v>
      </c>
      <c r="L54" s="87">
        <f t="shared" si="69"/>
        <v>0.36799999999999999</v>
      </c>
      <c r="M54" s="80">
        <f t="shared" si="69"/>
        <v>810.85</v>
      </c>
      <c r="N54" s="87">
        <f t="shared" si="69"/>
        <v>0.36799999999999999</v>
      </c>
      <c r="O54" s="80">
        <f t="shared" si="69"/>
        <v>810.85</v>
      </c>
      <c r="P54" s="87">
        <f t="shared" si="69"/>
        <v>0.36799999999999999</v>
      </c>
      <c r="Q54" s="80">
        <f t="shared" si="69"/>
        <v>810.85</v>
      </c>
      <c r="R54" s="87">
        <f t="shared" si="69"/>
        <v>0.36799999999999999</v>
      </c>
      <c r="S54" s="80">
        <f t="shared" si="69"/>
        <v>810.85</v>
      </c>
    </row>
    <row r="55" spans="1:20" ht="33" customHeight="1">
      <c r="A55" s="88" t="s">
        <v>112</v>
      </c>
      <c r="B55" s="88"/>
      <c r="C55" s="88"/>
      <c r="D55" s="88"/>
      <c r="E55" s="88"/>
      <c r="F55" s="88"/>
      <c r="G55" s="88"/>
      <c r="H55" s="89"/>
      <c r="I55" s="90"/>
      <c r="J55" s="89"/>
      <c r="K55" s="90"/>
      <c r="L55" s="89"/>
      <c r="M55" s="90"/>
      <c r="N55" s="89"/>
      <c r="O55" s="90"/>
      <c r="P55" s="89"/>
      <c r="Q55" s="90"/>
      <c r="R55" s="89"/>
      <c r="S55" s="90"/>
    </row>
    <row r="56" spans="1:20" ht="17.25" customHeight="1">
      <c r="A56" s="83" t="s">
        <v>113</v>
      </c>
      <c r="B56" s="316" t="s">
        <v>114</v>
      </c>
      <c r="C56" s="316"/>
      <c r="D56" s="316"/>
      <c r="E56" s="316"/>
      <c r="F56" s="316"/>
      <c r="G56" s="316"/>
      <c r="H56" s="39"/>
      <c r="I56" s="91" t="s">
        <v>79</v>
      </c>
      <c r="J56" s="39"/>
      <c r="K56" s="91" t="s">
        <v>79</v>
      </c>
      <c r="L56" s="39"/>
      <c r="M56" s="91" t="s">
        <v>79</v>
      </c>
      <c r="N56" s="39"/>
      <c r="O56" s="91" t="s">
        <v>79</v>
      </c>
      <c r="P56" s="39"/>
      <c r="Q56" s="91" t="s">
        <v>79</v>
      </c>
      <c r="R56" s="39"/>
      <c r="S56" s="91" t="s">
        <v>79</v>
      </c>
    </row>
    <row r="57" spans="1:20">
      <c r="A57" s="69" t="s">
        <v>58</v>
      </c>
      <c r="B57" s="294" t="s">
        <v>115</v>
      </c>
      <c r="C57" s="294"/>
      <c r="D57" s="294"/>
      <c r="E57" s="294"/>
      <c r="F57" s="294"/>
      <c r="G57" s="294"/>
      <c r="H57" s="92"/>
      <c r="I57" s="317">
        <f>IF((H58*H59)-(I23*H60)&gt;0,((H58*H59)-(I23*H60)),0)</f>
        <v>115.27</v>
      </c>
      <c r="J57" s="92"/>
      <c r="K57" s="381">
        <f>IF((J58*J59)-(K23*J60)&gt;0,((J58*J59)-(K23*J60)),0)</f>
        <v>66.87</v>
      </c>
      <c r="L57" s="92"/>
      <c r="M57" s="381">
        <f>IF((L58*L59)-(M23*L60)&gt;0,((L58*L59)-(M23*L60)),0)</f>
        <v>104.27</v>
      </c>
      <c r="N57" s="92"/>
      <c r="O57" s="381">
        <f>IF((N58*N59)-(O23*N60)&gt;0,((N58*N59)-(O23*N60)),0)</f>
        <v>106.47</v>
      </c>
      <c r="P57" s="92"/>
      <c r="Q57" s="381">
        <f>IF((P58*P59)-(Q23*P60)&gt;0,((P58*P59)-(Q23*P60)),0)</f>
        <v>80.069999999999993</v>
      </c>
      <c r="R57" s="92"/>
      <c r="S57" s="381">
        <f>IF((R58*R59)-(S23*R60)&gt;0,((R58*R59)-(S23*R60)),0)</f>
        <v>106.47</v>
      </c>
    </row>
    <row r="58" spans="1:20" ht="24.75" customHeight="1">
      <c r="A58" s="69"/>
      <c r="B58" s="286" t="s">
        <v>116</v>
      </c>
      <c r="C58" s="286"/>
      <c r="D58" s="286"/>
      <c r="E58" s="286"/>
      <c r="F58" s="286"/>
      <c r="G58" s="286"/>
      <c r="H58" s="93">
        <f>'DADOS BÁSICOS 3º ANO'!P8</f>
        <v>4.5</v>
      </c>
      <c r="I58" s="318"/>
      <c r="J58" s="93">
        <f>'DADOS BÁSICOS 3º ANO'!P9</f>
        <v>3.4</v>
      </c>
      <c r="K58" s="381"/>
      <c r="L58" s="93">
        <f>'DADOS BÁSICOS 3º ANO'!P10</f>
        <v>4.25</v>
      </c>
      <c r="M58" s="381"/>
      <c r="N58" s="93">
        <f>'DADOS BÁSICOS 3º ANO'!P11</f>
        <v>4.3</v>
      </c>
      <c r="O58" s="381"/>
      <c r="P58" s="93">
        <f>'DADOS BÁSICOS 3º ANO'!P12</f>
        <v>3.7</v>
      </c>
      <c r="Q58" s="381"/>
      <c r="R58" s="93">
        <f>'DADOS BÁSICOS 3º ANO'!P13</f>
        <v>4.3</v>
      </c>
      <c r="S58" s="381"/>
    </row>
    <row r="59" spans="1:20" ht="12.75" customHeight="1">
      <c r="A59" s="94"/>
      <c r="B59" s="286" t="s">
        <v>117</v>
      </c>
      <c r="C59" s="286"/>
      <c r="D59" s="286"/>
      <c r="E59" s="286"/>
      <c r="F59" s="286"/>
      <c r="G59" s="286"/>
      <c r="H59" s="95">
        <f>'DADOS BÁSICOS 3º ANO'!$O8</f>
        <v>44</v>
      </c>
      <c r="I59" s="318"/>
      <c r="J59" s="95">
        <f>'DADOS BÁSICOS 3º ANO'!$O9</f>
        <v>44</v>
      </c>
      <c r="K59" s="381"/>
      <c r="L59" s="95">
        <f>'DADOS BÁSICOS 3º ANO'!$O10</f>
        <v>44</v>
      </c>
      <c r="M59" s="381"/>
      <c r="N59" s="95">
        <f>'DADOS BÁSICOS 3º ANO'!$O11</f>
        <v>44</v>
      </c>
      <c r="O59" s="381"/>
      <c r="P59" s="95">
        <f>'DADOS BÁSICOS 3º ANO'!$O12</f>
        <v>44</v>
      </c>
      <c r="Q59" s="381"/>
      <c r="R59" s="95">
        <f>'DADOS BÁSICOS 3º ANO'!$O13</f>
        <v>44</v>
      </c>
      <c r="S59" s="381"/>
    </row>
    <row r="60" spans="1:20" ht="12.75" customHeight="1">
      <c r="A60" s="69"/>
      <c r="B60" s="286" t="s">
        <v>118</v>
      </c>
      <c r="C60" s="286"/>
      <c r="D60" s="286"/>
      <c r="E60" s="286"/>
      <c r="F60" s="286"/>
      <c r="G60" s="286"/>
      <c r="H60" s="96">
        <v>0.06</v>
      </c>
      <c r="I60" s="319"/>
      <c r="J60" s="96">
        <v>0.06</v>
      </c>
      <c r="K60" s="381"/>
      <c r="L60" s="96">
        <v>0.06</v>
      </c>
      <c r="M60" s="381"/>
      <c r="N60" s="96">
        <v>0.06</v>
      </c>
      <c r="O60" s="381"/>
      <c r="P60" s="96">
        <v>0.06</v>
      </c>
      <c r="Q60" s="381"/>
      <c r="R60" s="96">
        <v>0.06</v>
      </c>
      <c r="S60" s="381"/>
    </row>
    <row r="61" spans="1:20" ht="15" customHeight="1">
      <c r="A61" s="69" t="s">
        <v>60</v>
      </c>
      <c r="B61" s="286" t="s">
        <v>119</v>
      </c>
      <c r="C61" s="286"/>
      <c r="D61" s="286"/>
      <c r="E61" s="286"/>
      <c r="F61" s="286"/>
      <c r="G61" s="286"/>
      <c r="H61" s="97"/>
      <c r="I61" s="313">
        <f>H62-(H62*H64)</f>
        <v>360</v>
      </c>
      <c r="J61" s="97"/>
      <c r="K61" s="380">
        <f>J62-(J62*J64)</f>
        <v>360</v>
      </c>
      <c r="L61" s="97"/>
      <c r="M61" s="380">
        <f>L62-(L62*L64)</f>
        <v>360</v>
      </c>
      <c r="N61" s="97"/>
      <c r="O61" s="380">
        <f>N62-(N62*N64)</f>
        <v>360</v>
      </c>
      <c r="P61" s="97"/>
      <c r="Q61" s="380">
        <f>P62-(P62*P64)</f>
        <v>360</v>
      </c>
      <c r="R61" s="97"/>
      <c r="S61" s="380">
        <f>R62-(R62*R64)</f>
        <v>360</v>
      </c>
    </row>
    <row r="62" spans="1:20" ht="15" customHeight="1">
      <c r="A62" s="69"/>
      <c r="B62" s="286" t="s">
        <v>256</v>
      </c>
      <c r="C62" s="286"/>
      <c r="D62" s="286"/>
      <c r="E62" s="286"/>
      <c r="F62" s="286"/>
      <c r="G62" s="286"/>
      <c r="H62" s="98">
        <f>'DADOS BÁSICOS 3º ANO'!I8</f>
        <v>450</v>
      </c>
      <c r="I62" s="314"/>
      <c r="J62" s="98">
        <f>'DADOS BÁSICOS 3º ANO'!I9</f>
        <v>450</v>
      </c>
      <c r="K62" s="380"/>
      <c r="L62" s="98">
        <f>'DADOS BÁSICOS 3º ANO'!I10</f>
        <v>450</v>
      </c>
      <c r="M62" s="380"/>
      <c r="N62" s="98">
        <f>'DADOS BÁSICOS 3º ANO'!I11</f>
        <v>450</v>
      </c>
      <c r="O62" s="380"/>
      <c r="P62" s="98">
        <f>'DADOS BÁSICOS 3º ANO'!I12</f>
        <v>450</v>
      </c>
      <c r="Q62" s="380"/>
      <c r="R62" s="98">
        <f>'DADOS BÁSICOS 3º ANO'!I13</f>
        <v>450</v>
      </c>
      <c r="S62" s="380"/>
      <c r="T62" s="99"/>
    </row>
    <row r="63" spans="1:20" ht="15" customHeight="1">
      <c r="A63" s="69"/>
      <c r="B63" s="286" t="s">
        <v>258</v>
      </c>
      <c r="C63" s="286"/>
      <c r="D63" s="286"/>
      <c r="E63" s="286"/>
      <c r="F63" s="286"/>
      <c r="G63" s="286"/>
      <c r="H63" s="100"/>
      <c r="I63" s="314"/>
      <c r="J63" s="100"/>
      <c r="K63" s="380"/>
      <c r="L63" s="100"/>
      <c r="M63" s="380"/>
      <c r="N63" s="100"/>
      <c r="O63" s="380"/>
      <c r="P63" s="100"/>
      <c r="Q63" s="380"/>
      <c r="R63" s="100"/>
      <c r="S63" s="380"/>
      <c r="T63" s="99"/>
    </row>
    <row r="64" spans="1:20" ht="15" customHeight="1">
      <c r="A64" s="69"/>
      <c r="B64" s="286" t="s">
        <v>257</v>
      </c>
      <c r="C64" s="286"/>
      <c r="D64" s="286"/>
      <c r="E64" s="286"/>
      <c r="F64" s="286"/>
      <c r="G64" s="286"/>
      <c r="H64" s="101">
        <f>'DADOS BÁSICOS 3º ANO'!$N8</f>
        <v>0.2</v>
      </c>
      <c r="I64" s="315"/>
      <c r="J64" s="101">
        <f>'DADOS BÁSICOS 3º ANO'!$N9</f>
        <v>0.2</v>
      </c>
      <c r="K64" s="380"/>
      <c r="L64" s="101">
        <f>'DADOS BÁSICOS 3º ANO'!$N10</f>
        <v>0.2</v>
      </c>
      <c r="M64" s="380"/>
      <c r="N64" s="101">
        <f>'DADOS BÁSICOS 3º ANO'!$N11</f>
        <v>0.2</v>
      </c>
      <c r="O64" s="380"/>
      <c r="P64" s="101">
        <f>'DADOS BÁSICOS 3º ANO'!$N12</f>
        <v>0.2</v>
      </c>
      <c r="Q64" s="380"/>
      <c r="R64" s="101">
        <f>'DADOS BÁSICOS 3º ANO'!$N13</f>
        <v>0.2</v>
      </c>
      <c r="S64" s="380"/>
    </row>
    <row r="65" spans="1:19" ht="17.25" customHeight="1">
      <c r="A65" s="69" t="s">
        <v>62</v>
      </c>
      <c r="B65" s="286" t="str">
        <f>'DADOS BÁSICOS 3º ANO'!$J$7</f>
        <v>Auxílio Saúde</v>
      </c>
      <c r="C65" s="286"/>
      <c r="D65" s="286"/>
      <c r="E65" s="286"/>
      <c r="F65" s="286"/>
      <c r="G65" s="286"/>
      <c r="H65" s="102"/>
      <c r="I65" s="57">
        <f>'DADOS BÁSICOS 3º ANO'!$J$8</f>
        <v>64</v>
      </c>
      <c r="J65" s="102"/>
      <c r="K65" s="57">
        <f>'DADOS BÁSICOS 3º ANO'!$J$9</f>
        <v>64</v>
      </c>
      <c r="L65" s="102"/>
      <c r="M65" s="57">
        <f>'DADOS BÁSICOS 3º ANO'!$J$9</f>
        <v>64</v>
      </c>
      <c r="N65" s="102"/>
      <c r="O65" s="57">
        <f>'DADOS BÁSICOS 3º ANO'!$J$9</f>
        <v>64</v>
      </c>
      <c r="P65" s="102"/>
      <c r="Q65" s="57">
        <f>'DADOS BÁSICOS 3º ANO'!$J$9</f>
        <v>64</v>
      </c>
      <c r="R65" s="102"/>
      <c r="S65" s="57">
        <f>'DADOS BÁSICOS 3º ANO'!$J$9</f>
        <v>64</v>
      </c>
    </row>
    <row r="66" spans="1:19" ht="16" customHeight="1">
      <c r="A66" s="69" t="s">
        <v>64</v>
      </c>
      <c r="B66" s="286" t="str">
        <f>'DADOS BÁSICOS 3º ANO'!$K$7</f>
        <v>Benefício Familiar</v>
      </c>
      <c r="C66" s="286"/>
      <c r="D66" s="286"/>
      <c r="E66" s="286"/>
      <c r="F66" s="286"/>
      <c r="G66" s="286"/>
      <c r="H66" s="103"/>
      <c r="I66" s="104">
        <f>'DADOS BÁSICOS 3º ANO'!$K$8</f>
        <v>21</v>
      </c>
      <c r="J66" s="103"/>
      <c r="K66" s="104">
        <f>'DADOS BÁSICOS 3º ANO'!$K$9</f>
        <v>21</v>
      </c>
      <c r="L66" s="103"/>
      <c r="M66" s="104">
        <f>'DADOS BÁSICOS 3º ANO'!$K$9</f>
        <v>21</v>
      </c>
      <c r="N66" s="103"/>
      <c r="O66" s="104">
        <f>'DADOS BÁSICOS 3º ANO'!$K$9</f>
        <v>21</v>
      </c>
      <c r="P66" s="103"/>
      <c r="Q66" s="104">
        <f>'DADOS BÁSICOS 3º ANO'!$K$9</f>
        <v>21</v>
      </c>
      <c r="R66" s="103"/>
      <c r="S66" s="104">
        <f>'DADOS BÁSICOS 3º ANO'!$K$9</f>
        <v>21</v>
      </c>
    </row>
    <row r="67" spans="1:19" ht="15" customHeight="1">
      <c r="A67" s="69" t="s">
        <v>66</v>
      </c>
      <c r="B67" s="286" t="str">
        <f>'DADOS BÁSICOS 3º ANO'!$L$7</f>
        <v>Fundo de Fomação Profissional</v>
      </c>
      <c r="C67" s="286"/>
      <c r="D67" s="286"/>
      <c r="E67" s="286"/>
      <c r="F67" s="286"/>
      <c r="G67" s="286"/>
      <c r="H67" s="102"/>
      <c r="I67" s="104">
        <f>'DADOS BÁSICOS 3º ANO'!$L$8</f>
        <v>21</v>
      </c>
      <c r="J67" s="102"/>
      <c r="K67" s="104">
        <f>'DADOS BÁSICOS 3º ANO'!$L$9</f>
        <v>21</v>
      </c>
      <c r="L67" s="102"/>
      <c r="M67" s="104">
        <f>'DADOS BÁSICOS 3º ANO'!$L$9</f>
        <v>21</v>
      </c>
      <c r="N67" s="102"/>
      <c r="O67" s="104">
        <f>'DADOS BÁSICOS 3º ANO'!$L$9</f>
        <v>21</v>
      </c>
      <c r="P67" s="102"/>
      <c r="Q67" s="104">
        <f>'DADOS BÁSICOS 3º ANO'!$L$9</f>
        <v>21</v>
      </c>
      <c r="R67" s="102"/>
      <c r="S67" s="104">
        <f>'DADOS BÁSICOS 3º ANO'!$L$9</f>
        <v>21</v>
      </c>
    </row>
    <row r="68" spans="1:19" ht="18" customHeight="1">
      <c r="A68" s="72" t="s">
        <v>84</v>
      </c>
      <c r="B68" s="312" t="s">
        <v>200</v>
      </c>
      <c r="C68" s="312"/>
      <c r="D68" s="312"/>
      <c r="E68" s="312"/>
      <c r="F68" s="312"/>
      <c r="G68" s="312"/>
      <c r="H68" s="105">
        <f>1/12</f>
        <v>8.3299999999999999E-2</v>
      </c>
      <c r="I68" s="107">
        <f>I61*H68</f>
        <v>29.99</v>
      </c>
      <c r="J68" s="105">
        <f t="shared" ref="J68" si="70">1/12</f>
        <v>8.3299999999999999E-2</v>
      </c>
      <c r="K68" s="107">
        <f t="shared" ref="K68" si="71">K61*J68</f>
        <v>29.99</v>
      </c>
      <c r="L68" s="105">
        <f t="shared" ref="L68" si="72">1/12</f>
        <v>8.3299999999999999E-2</v>
      </c>
      <c r="M68" s="107">
        <f t="shared" ref="M68" si="73">M61*L68</f>
        <v>29.99</v>
      </c>
      <c r="N68" s="105">
        <f t="shared" ref="N68" si="74">1/12</f>
        <v>8.3299999999999999E-2</v>
      </c>
      <c r="O68" s="107">
        <f t="shared" ref="O68" si="75">O61*N68</f>
        <v>29.99</v>
      </c>
      <c r="P68" s="105">
        <f t="shared" ref="P68" si="76">1/12</f>
        <v>8.3299999999999999E-2</v>
      </c>
      <c r="Q68" s="107">
        <f t="shared" ref="Q68" si="77">Q61*P68</f>
        <v>29.99</v>
      </c>
      <c r="R68" s="105">
        <f t="shared" ref="R68" si="78">1/12</f>
        <v>8.3299999999999999E-2</v>
      </c>
      <c r="S68" s="107">
        <f t="shared" ref="S68" si="79">S61*R68</f>
        <v>29.99</v>
      </c>
    </row>
    <row r="69" spans="1:19" ht="18" customHeight="1">
      <c r="A69" s="72" t="s">
        <v>268</v>
      </c>
      <c r="B69" s="312" t="s">
        <v>269</v>
      </c>
      <c r="C69" s="312"/>
      <c r="D69" s="312"/>
      <c r="E69" s="312"/>
      <c r="F69" s="312"/>
      <c r="G69" s="312"/>
      <c r="H69" s="105">
        <f>(1/11)/12</f>
        <v>7.6E-3</v>
      </c>
      <c r="I69" s="107">
        <f>I61*H69</f>
        <v>2.74</v>
      </c>
      <c r="J69" s="105">
        <f t="shared" ref="J69" si="80">(1/11)/12</f>
        <v>7.6E-3</v>
      </c>
      <c r="K69" s="107">
        <f t="shared" ref="K69" si="81">K61*J69</f>
        <v>2.74</v>
      </c>
      <c r="L69" s="105">
        <f t="shared" ref="L69" si="82">(1/11)/12</f>
        <v>7.6E-3</v>
      </c>
      <c r="M69" s="107">
        <f t="shared" ref="M69" si="83">M61*L69</f>
        <v>2.74</v>
      </c>
      <c r="N69" s="105">
        <f t="shared" ref="N69" si="84">(1/11)/12</f>
        <v>7.6E-3</v>
      </c>
      <c r="O69" s="107">
        <f t="shared" ref="O69" si="85">O61*N69</f>
        <v>2.74</v>
      </c>
      <c r="P69" s="105">
        <f t="shared" ref="P69" si="86">(1/11)/12</f>
        <v>7.6E-3</v>
      </c>
      <c r="Q69" s="107">
        <f t="shared" ref="Q69" si="87">Q61*P69</f>
        <v>2.74</v>
      </c>
      <c r="R69" s="105">
        <f t="shared" ref="R69" si="88">(1/11)/12</f>
        <v>7.6E-3</v>
      </c>
      <c r="S69" s="107">
        <f t="shared" ref="S69" si="89">S61*R69</f>
        <v>2.74</v>
      </c>
    </row>
    <row r="70" spans="1:19" ht="18" customHeight="1">
      <c r="A70" s="108" t="s">
        <v>110</v>
      </c>
      <c r="B70" s="297" t="s">
        <v>201</v>
      </c>
      <c r="C70" s="297"/>
      <c r="D70" s="297"/>
      <c r="E70" s="297"/>
      <c r="F70" s="297"/>
      <c r="G70" s="297"/>
      <c r="H70" s="109">
        <f>((H11/11)/12)/H11</f>
        <v>7.6E-3</v>
      </c>
      <c r="I70" s="225">
        <f>I61*H70</f>
        <v>2.74</v>
      </c>
      <c r="J70" s="109">
        <f t="shared" ref="J70" si="90">((J11/11)/12)/J11</f>
        <v>7.6E-3</v>
      </c>
      <c r="K70" s="225">
        <f t="shared" ref="K70" si="91">K61*J70</f>
        <v>2.74</v>
      </c>
      <c r="L70" s="109">
        <f t="shared" ref="L70" si="92">((L11/11)/12)/L11</f>
        <v>7.6E-3</v>
      </c>
      <c r="M70" s="225">
        <f t="shared" ref="M70" si="93">M61*L70</f>
        <v>2.74</v>
      </c>
      <c r="N70" s="109">
        <f t="shared" ref="N70" si="94">((N11/11)/12)/N11</f>
        <v>7.6E-3</v>
      </c>
      <c r="O70" s="225">
        <f t="shared" ref="O70" si="95">O61*N70</f>
        <v>2.74</v>
      </c>
      <c r="P70" s="109">
        <f t="shared" ref="P70" si="96">((P11/11)/12)/P11</f>
        <v>7.6E-3</v>
      </c>
      <c r="Q70" s="225">
        <f t="shared" ref="Q70" si="97">Q61*P70</f>
        <v>2.74</v>
      </c>
      <c r="R70" s="109">
        <f t="shared" ref="R70" si="98">((R11/11)/12)/R11</f>
        <v>7.6E-3</v>
      </c>
      <c r="S70" s="225">
        <f t="shared" ref="S70" si="99">S61*R70</f>
        <v>2.74</v>
      </c>
    </row>
    <row r="71" spans="1:19" ht="18" customHeight="1">
      <c r="A71" s="76" t="s">
        <v>111</v>
      </c>
      <c r="B71" s="310" t="s">
        <v>202</v>
      </c>
      <c r="C71" s="310"/>
      <c r="D71" s="310"/>
      <c r="E71" s="310"/>
      <c r="F71" s="310"/>
      <c r="G71" s="310"/>
      <c r="H71" s="111">
        <f>(H$11/11)/H$11</f>
        <v>9.0899999999999995E-2</v>
      </c>
      <c r="I71" s="226">
        <f>I65*H71</f>
        <v>5.82</v>
      </c>
      <c r="J71" s="111">
        <f t="shared" ref="J71" si="100">(J$11/11)/J$11</f>
        <v>9.0899999999999995E-2</v>
      </c>
      <c r="K71" s="226">
        <f t="shared" ref="K71" si="101">K65*J71</f>
        <v>5.82</v>
      </c>
      <c r="L71" s="111">
        <f t="shared" ref="L71" si="102">(L$11/11)/L$11</f>
        <v>9.0899999999999995E-2</v>
      </c>
      <c r="M71" s="226">
        <f t="shared" ref="M71" si="103">M65*L71</f>
        <v>5.82</v>
      </c>
      <c r="N71" s="111">
        <f t="shared" ref="N71" si="104">(N$11/11)/N$11</f>
        <v>9.0899999999999995E-2</v>
      </c>
      <c r="O71" s="226">
        <f t="shared" ref="O71" si="105">O65*N71</f>
        <v>5.82</v>
      </c>
      <c r="P71" s="111">
        <f t="shared" ref="P71" si="106">(P$11/11)/P$11</f>
        <v>9.0899999999999995E-2</v>
      </c>
      <c r="Q71" s="226">
        <f t="shared" ref="Q71" si="107">Q65*P71</f>
        <v>5.82</v>
      </c>
      <c r="R71" s="111">
        <f t="shared" ref="R71" si="108">(R$11/11)/R$11</f>
        <v>9.0899999999999995E-2</v>
      </c>
      <c r="S71" s="226">
        <f t="shared" ref="S71:S73" si="109">S65*R71</f>
        <v>5.82</v>
      </c>
    </row>
    <row r="72" spans="1:19" ht="18" customHeight="1">
      <c r="A72" s="76" t="s">
        <v>198</v>
      </c>
      <c r="B72" s="310" t="s">
        <v>203</v>
      </c>
      <c r="C72" s="310"/>
      <c r="D72" s="310"/>
      <c r="E72" s="310"/>
      <c r="F72" s="310"/>
      <c r="G72" s="310"/>
      <c r="H72" s="111">
        <f t="shared" ref="H72:R73" si="110">(H$11/11)/H$11</f>
        <v>9.0899999999999995E-2</v>
      </c>
      <c r="I72" s="226">
        <f>I66*H72</f>
        <v>1.91</v>
      </c>
      <c r="J72" s="111">
        <f t="shared" si="110"/>
        <v>9.0899999999999995E-2</v>
      </c>
      <c r="K72" s="226">
        <f t="shared" ref="K72" si="111">K66*J72</f>
        <v>1.91</v>
      </c>
      <c r="L72" s="111">
        <f t="shared" si="110"/>
        <v>9.0899999999999995E-2</v>
      </c>
      <c r="M72" s="226">
        <f t="shared" ref="M72" si="112">M66*L72</f>
        <v>1.91</v>
      </c>
      <c r="N72" s="111">
        <f t="shared" si="110"/>
        <v>9.0899999999999995E-2</v>
      </c>
      <c r="O72" s="226">
        <f t="shared" ref="O72" si="113">O66*N72</f>
        <v>1.91</v>
      </c>
      <c r="P72" s="111">
        <f t="shared" si="110"/>
        <v>9.0899999999999995E-2</v>
      </c>
      <c r="Q72" s="226">
        <f t="shared" ref="Q72" si="114">Q66*P72</f>
        <v>1.91</v>
      </c>
      <c r="R72" s="111">
        <f t="shared" si="110"/>
        <v>9.0899999999999995E-2</v>
      </c>
      <c r="S72" s="226">
        <f t="shared" si="109"/>
        <v>1.91</v>
      </c>
    </row>
    <row r="73" spans="1:19" ht="18" customHeight="1">
      <c r="A73" s="76" t="s">
        <v>199</v>
      </c>
      <c r="B73" s="310" t="s">
        <v>204</v>
      </c>
      <c r="C73" s="310"/>
      <c r="D73" s="310"/>
      <c r="E73" s="310"/>
      <c r="F73" s="310"/>
      <c r="G73" s="310"/>
      <c r="H73" s="111">
        <f t="shared" si="110"/>
        <v>9.0899999999999995E-2</v>
      </c>
      <c r="I73" s="226">
        <f>I67*H73</f>
        <v>1.91</v>
      </c>
      <c r="J73" s="111">
        <f t="shared" si="110"/>
        <v>9.0899999999999995E-2</v>
      </c>
      <c r="K73" s="226">
        <f t="shared" ref="K73" si="115">K67*J73</f>
        <v>1.91</v>
      </c>
      <c r="L73" s="111">
        <f t="shared" si="110"/>
        <v>9.0899999999999995E-2</v>
      </c>
      <c r="M73" s="226">
        <f t="shared" ref="M73" si="116">M67*L73</f>
        <v>1.91</v>
      </c>
      <c r="N73" s="111">
        <f t="shared" si="110"/>
        <v>9.0899999999999995E-2</v>
      </c>
      <c r="O73" s="226">
        <f t="shared" ref="O73" si="117">O67*N73</f>
        <v>1.91</v>
      </c>
      <c r="P73" s="111">
        <f t="shared" si="110"/>
        <v>9.0899999999999995E-2</v>
      </c>
      <c r="Q73" s="226">
        <f t="shared" ref="Q73" si="118">Q67*P73</f>
        <v>1.91</v>
      </c>
      <c r="R73" s="111">
        <f t="shared" si="110"/>
        <v>9.0899999999999995E-2</v>
      </c>
      <c r="S73" s="226">
        <f t="shared" si="109"/>
        <v>1.91</v>
      </c>
    </row>
    <row r="74" spans="1:19" ht="19.5" customHeight="1">
      <c r="A74" s="287" t="s">
        <v>85</v>
      </c>
      <c r="B74" s="287"/>
      <c r="C74" s="287"/>
      <c r="D74" s="287"/>
      <c r="E74" s="287"/>
      <c r="F74" s="287"/>
      <c r="G74" s="287"/>
      <c r="H74" s="113"/>
      <c r="I74" s="80">
        <f>SUM(I57:I73)</f>
        <v>626.38</v>
      </c>
      <c r="J74" s="113"/>
      <c r="K74" s="80">
        <f>SUM(K57:K73)</f>
        <v>577.98</v>
      </c>
      <c r="L74" s="113"/>
      <c r="M74" s="80">
        <f>SUM(M57:M73)</f>
        <v>615.38</v>
      </c>
      <c r="N74" s="113"/>
      <c r="O74" s="80">
        <f>SUM(O57:O73)</f>
        <v>617.58000000000004</v>
      </c>
      <c r="P74" s="113"/>
      <c r="Q74" s="80">
        <f>SUM(Q57:Q73)</f>
        <v>591.17999999999995</v>
      </c>
      <c r="R74" s="113"/>
      <c r="S74" s="80">
        <f>SUM(S57:S73)</f>
        <v>617.58000000000004</v>
      </c>
    </row>
    <row r="75" spans="1:19" ht="30.75" customHeight="1">
      <c r="A75" s="37" t="s">
        <v>120</v>
      </c>
      <c r="B75" s="63"/>
      <c r="C75" s="63"/>
      <c r="D75" s="63"/>
      <c r="E75" s="63"/>
      <c r="F75" s="63"/>
      <c r="G75" s="63"/>
      <c r="H75" s="64"/>
      <c r="I75" s="65"/>
      <c r="J75" s="64"/>
      <c r="K75" s="65"/>
      <c r="L75" s="64"/>
      <c r="M75" s="65"/>
      <c r="N75" s="64"/>
      <c r="O75" s="65"/>
      <c r="P75" s="64"/>
      <c r="Q75" s="65"/>
      <c r="R75" s="64"/>
      <c r="S75" s="65"/>
    </row>
    <row r="76" spans="1:19" ht="20.25" customHeight="1">
      <c r="A76" s="114">
        <v>2</v>
      </c>
      <c r="B76" s="311" t="s">
        <v>121</v>
      </c>
      <c r="C76" s="311"/>
      <c r="D76" s="311"/>
      <c r="E76" s="311"/>
      <c r="F76" s="311"/>
      <c r="G76" s="311"/>
      <c r="H76" s="115"/>
      <c r="I76" s="116" t="s">
        <v>79</v>
      </c>
      <c r="J76" s="115"/>
      <c r="K76" s="116" t="s">
        <v>79</v>
      </c>
      <c r="L76" s="115"/>
      <c r="M76" s="116" t="s">
        <v>79</v>
      </c>
      <c r="N76" s="115"/>
      <c r="O76" s="116" t="s">
        <v>79</v>
      </c>
      <c r="P76" s="115"/>
      <c r="Q76" s="116" t="s">
        <v>79</v>
      </c>
      <c r="R76" s="115"/>
      <c r="S76" s="116" t="s">
        <v>79</v>
      </c>
    </row>
    <row r="77" spans="1:19" ht="12.75" customHeight="1">
      <c r="A77" s="69" t="s">
        <v>87</v>
      </c>
      <c r="B77" s="286" t="s">
        <v>88</v>
      </c>
      <c r="C77" s="286"/>
      <c r="D77" s="286"/>
      <c r="E77" s="286"/>
      <c r="F77" s="286"/>
      <c r="G77" s="286"/>
      <c r="H77" s="48"/>
      <c r="I77" s="71">
        <f>I40</f>
        <v>396.89</v>
      </c>
      <c r="J77" s="48"/>
      <c r="K77" s="71">
        <f>K40</f>
        <v>396.89</v>
      </c>
      <c r="L77" s="48"/>
      <c r="M77" s="71">
        <f>M40</f>
        <v>396.89</v>
      </c>
      <c r="N77" s="48"/>
      <c r="O77" s="71">
        <f>O40</f>
        <v>396.89</v>
      </c>
      <c r="P77" s="48"/>
      <c r="Q77" s="71">
        <f>Q40</f>
        <v>396.89</v>
      </c>
      <c r="R77" s="48"/>
      <c r="S77" s="71">
        <f>S40</f>
        <v>396.89</v>
      </c>
    </row>
    <row r="78" spans="1:19" ht="12.75" customHeight="1">
      <c r="A78" s="69" t="s">
        <v>106</v>
      </c>
      <c r="B78" s="286" t="s">
        <v>107</v>
      </c>
      <c r="C78" s="286"/>
      <c r="D78" s="286"/>
      <c r="E78" s="286"/>
      <c r="F78" s="286"/>
      <c r="G78" s="286"/>
      <c r="H78" s="48"/>
      <c r="I78" s="71">
        <f>I54</f>
        <v>810.85</v>
      </c>
      <c r="J78" s="48"/>
      <c r="K78" s="71">
        <f>K54</f>
        <v>810.85</v>
      </c>
      <c r="L78" s="48"/>
      <c r="M78" s="71">
        <f>M54</f>
        <v>810.85</v>
      </c>
      <c r="N78" s="48"/>
      <c r="O78" s="71">
        <f>O54</f>
        <v>810.85</v>
      </c>
      <c r="P78" s="48"/>
      <c r="Q78" s="71">
        <f>Q54</f>
        <v>810.85</v>
      </c>
      <c r="R78" s="48"/>
      <c r="S78" s="71">
        <f>S54</f>
        <v>810.85</v>
      </c>
    </row>
    <row r="79" spans="1:19" ht="12.75" customHeight="1">
      <c r="A79" s="69" t="s">
        <v>113</v>
      </c>
      <c r="B79" s="286" t="s">
        <v>114</v>
      </c>
      <c r="C79" s="286"/>
      <c r="D79" s="286"/>
      <c r="E79" s="286"/>
      <c r="F79" s="286"/>
      <c r="G79" s="286"/>
      <c r="H79" s="48"/>
      <c r="I79" s="71">
        <f>I74</f>
        <v>626.38</v>
      </c>
      <c r="J79" s="48"/>
      <c r="K79" s="71">
        <f>K74</f>
        <v>577.98</v>
      </c>
      <c r="L79" s="48"/>
      <c r="M79" s="71">
        <f>M74</f>
        <v>615.38</v>
      </c>
      <c r="N79" s="48"/>
      <c r="O79" s="71">
        <f>O74</f>
        <v>617.58000000000004</v>
      </c>
      <c r="P79" s="48"/>
      <c r="Q79" s="71">
        <f>Q74</f>
        <v>591.17999999999995</v>
      </c>
      <c r="R79" s="48"/>
      <c r="S79" s="71">
        <f>S74</f>
        <v>617.58000000000004</v>
      </c>
    </row>
    <row r="80" spans="1:19">
      <c r="A80" s="304" t="s">
        <v>85</v>
      </c>
      <c r="B80" s="304"/>
      <c r="C80" s="304"/>
      <c r="D80" s="304"/>
      <c r="E80" s="304"/>
      <c r="F80" s="304"/>
      <c r="G80" s="304"/>
      <c r="H80" s="117"/>
      <c r="I80" s="82">
        <f>SUM(I77:I79)</f>
        <v>1834.12</v>
      </c>
      <c r="J80" s="117"/>
      <c r="K80" s="82">
        <f>SUM(K77:K79)</f>
        <v>1785.72</v>
      </c>
      <c r="L80" s="117"/>
      <c r="M80" s="82">
        <f>SUM(M77:M79)</f>
        <v>1823.12</v>
      </c>
      <c r="N80" s="117"/>
      <c r="O80" s="82">
        <f>SUM(O77:O79)</f>
        <v>1825.32</v>
      </c>
      <c r="P80" s="117"/>
      <c r="Q80" s="82">
        <f>SUM(Q77:Q79)</f>
        <v>1798.92</v>
      </c>
      <c r="R80" s="117"/>
      <c r="S80" s="82">
        <f>SUM(S77:S79)</f>
        <v>1825.32</v>
      </c>
    </row>
    <row r="81" spans="1:19" ht="26.25" customHeight="1">
      <c r="A81" s="37" t="s">
        <v>122</v>
      </c>
      <c r="B81" s="118"/>
      <c r="C81" s="118"/>
      <c r="D81" s="118"/>
      <c r="E81" s="118"/>
      <c r="F81" s="118"/>
      <c r="G81" s="118"/>
      <c r="H81" s="64"/>
      <c r="I81" s="65"/>
      <c r="J81" s="64"/>
      <c r="K81" s="65"/>
      <c r="L81" s="64"/>
      <c r="M81" s="65"/>
      <c r="N81" s="64"/>
      <c r="O81" s="65"/>
      <c r="P81" s="64"/>
      <c r="Q81" s="65"/>
      <c r="R81" s="64"/>
      <c r="S81" s="65"/>
    </row>
    <row r="82" spans="1:19" ht="26.25" customHeight="1">
      <c r="A82" s="119">
        <v>3</v>
      </c>
      <c r="B82" s="305" t="s">
        <v>123</v>
      </c>
      <c r="C82" s="305"/>
      <c r="D82" s="305"/>
      <c r="E82" s="305"/>
      <c r="F82" s="305"/>
      <c r="G82" s="305"/>
      <c r="H82" s="120" t="s">
        <v>89</v>
      </c>
      <c r="I82" s="47" t="s">
        <v>79</v>
      </c>
      <c r="J82" s="46" t="s">
        <v>89</v>
      </c>
      <c r="K82" s="47" t="s">
        <v>79</v>
      </c>
      <c r="L82" s="46" t="s">
        <v>89</v>
      </c>
      <c r="M82" s="47" t="s">
        <v>79</v>
      </c>
      <c r="N82" s="46" t="s">
        <v>89</v>
      </c>
      <c r="O82" s="47" t="s">
        <v>79</v>
      </c>
      <c r="P82" s="46" t="s">
        <v>89</v>
      </c>
      <c r="Q82" s="47" t="s">
        <v>79</v>
      </c>
      <c r="R82" s="46" t="s">
        <v>89</v>
      </c>
      <c r="S82" s="47" t="s">
        <v>79</v>
      </c>
    </row>
    <row r="83" spans="1:19" ht="16.5" customHeight="1">
      <c r="A83" s="121" t="s">
        <v>58</v>
      </c>
      <c r="B83" s="306" t="s">
        <v>124</v>
      </c>
      <c r="C83" s="307"/>
      <c r="D83" s="307"/>
      <c r="E83" s="307"/>
      <c r="F83" s="307"/>
      <c r="G83" s="308"/>
      <c r="H83" s="122">
        <f>((100%/12)*'DADOS BÁSICOS 3º ANO'!$Q8)/10</f>
        <v>2.8E-3</v>
      </c>
      <c r="I83" s="123">
        <f>H83*I$43</f>
        <v>6.17</v>
      </c>
      <c r="J83" s="122">
        <f>((100%/12)*'DADOS BÁSICOS 3º ANO'!$Q8)/10</f>
        <v>2.8E-3</v>
      </c>
      <c r="K83" s="123">
        <f t="shared" ref="K83" si="119">J83*K$43</f>
        <v>6.17</v>
      </c>
      <c r="L83" s="122">
        <f>((100%/12)*'DADOS BÁSICOS 3º ANO'!$Q8)/10</f>
        <v>2.8E-3</v>
      </c>
      <c r="M83" s="123">
        <f t="shared" ref="M83" si="120">L83*M$43</f>
        <v>6.17</v>
      </c>
      <c r="N83" s="122">
        <f>((100%/12)*'DADOS BÁSICOS 3º ANO'!$Q8)/10</f>
        <v>2.8E-3</v>
      </c>
      <c r="O83" s="123">
        <f t="shared" ref="O83" si="121">N83*O$43</f>
        <v>6.17</v>
      </c>
      <c r="P83" s="122">
        <f>((100%/12)*'DADOS BÁSICOS 3º ANO'!$Q8)/10</f>
        <v>2.8E-3</v>
      </c>
      <c r="Q83" s="123">
        <f t="shared" ref="Q83" si="122">P83*Q$43</f>
        <v>6.17</v>
      </c>
      <c r="R83" s="122">
        <f>((100%/12)*'DADOS BÁSICOS 3º ANO'!$Q8)/10</f>
        <v>2.8E-3</v>
      </c>
      <c r="S83" s="123">
        <f t="shared" ref="S83" si="123">R83*S$43</f>
        <v>6.17</v>
      </c>
    </row>
    <row r="84" spans="1:19">
      <c r="A84" s="69" t="s">
        <v>60</v>
      </c>
      <c r="B84" s="294" t="s">
        <v>125</v>
      </c>
      <c r="C84" s="294"/>
      <c r="D84" s="294"/>
      <c r="E84" s="294"/>
      <c r="F84" s="294"/>
      <c r="G84" s="294"/>
      <c r="H84" s="124">
        <v>0.08</v>
      </c>
      <c r="I84" s="125">
        <f>I83*H84</f>
        <v>0.49</v>
      </c>
      <c r="J84" s="124">
        <v>0.08</v>
      </c>
      <c r="K84" s="125">
        <f t="shared" ref="K84" si="124">K83*J84</f>
        <v>0.49</v>
      </c>
      <c r="L84" s="124">
        <v>0.08</v>
      </c>
      <c r="M84" s="125">
        <f t="shared" ref="M84" si="125">M83*L84</f>
        <v>0.49</v>
      </c>
      <c r="N84" s="124">
        <v>0.08</v>
      </c>
      <c r="O84" s="125">
        <f t="shared" ref="O84" si="126">O83*N84</f>
        <v>0.49</v>
      </c>
      <c r="P84" s="124">
        <v>0.08</v>
      </c>
      <c r="Q84" s="125">
        <f t="shared" ref="Q84" si="127">Q83*P84</f>
        <v>0.49</v>
      </c>
      <c r="R84" s="124">
        <v>0.08</v>
      </c>
      <c r="S84" s="125">
        <f t="shared" ref="S84" si="128">S83*R84</f>
        <v>0.49</v>
      </c>
    </row>
    <row r="85" spans="1:19" ht="12.75" customHeight="1">
      <c r="A85" s="126" t="s">
        <v>62</v>
      </c>
      <c r="B85" s="302" t="s">
        <v>126</v>
      </c>
      <c r="C85" s="303"/>
      <c r="D85" s="303"/>
      <c r="E85" s="303"/>
      <c r="F85" s="303"/>
      <c r="G85" s="284"/>
      <c r="H85" s="127">
        <f>8%*40%*'DADOS BÁSICOS 3º ANO'!$Q8</f>
        <v>1.0800000000000001E-2</v>
      </c>
      <c r="I85" s="125">
        <f>I$43*H85</f>
        <v>23.8</v>
      </c>
      <c r="J85" s="127">
        <f>8%*40%*'DADOS BÁSICOS 3º ANO'!$Q8</f>
        <v>1.0800000000000001E-2</v>
      </c>
      <c r="K85" s="125">
        <f t="shared" ref="K85" si="129">K$43*J85</f>
        <v>23.8</v>
      </c>
      <c r="L85" s="127">
        <f>8%*40%*'DADOS BÁSICOS 3º ANO'!$Q8</f>
        <v>1.0800000000000001E-2</v>
      </c>
      <c r="M85" s="125">
        <f t="shared" ref="M85" si="130">M$43*L85</f>
        <v>23.8</v>
      </c>
      <c r="N85" s="127">
        <f>8%*40%*'DADOS BÁSICOS 3º ANO'!$Q8</f>
        <v>1.0800000000000001E-2</v>
      </c>
      <c r="O85" s="125">
        <f t="shared" ref="O85" si="131">O$43*N85</f>
        <v>23.8</v>
      </c>
      <c r="P85" s="127">
        <f>8%*40%*'DADOS BÁSICOS 3º ANO'!$Q8</f>
        <v>1.0800000000000001E-2</v>
      </c>
      <c r="Q85" s="125">
        <f t="shared" ref="Q85" si="132">Q$43*P85</f>
        <v>23.8</v>
      </c>
      <c r="R85" s="127">
        <f>8%*40%*'DADOS BÁSICOS 3º ANO'!$Q8</f>
        <v>1.0800000000000001E-2</v>
      </c>
      <c r="S85" s="125">
        <f t="shared" ref="S85" si="133">S$43*R85</f>
        <v>23.8</v>
      </c>
    </row>
    <row r="86" spans="1:19" ht="17.25" customHeight="1">
      <c r="A86" s="128" t="s">
        <v>64</v>
      </c>
      <c r="B86" s="309" t="s">
        <v>127</v>
      </c>
      <c r="C86" s="309"/>
      <c r="D86" s="309"/>
      <c r="E86" s="309"/>
      <c r="F86" s="309"/>
      <c r="G86" s="309"/>
      <c r="H86" s="247">
        <f>((7/30)/12)/10</f>
        <v>1.944E-3</v>
      </c>
      <c r="I86" s="248">
        <f>H86*I$43</f>
        <v>4.28</v>
      </c>
      <c r="J86" s="247">
        <f t="shared" ref="J86" si="134">((7/30)/12)/10</f>
        <v>1.944E-3</v>
      </c>
      <c r="K86" s="248">
        <f t="shared" ref="K86" si="135">J86*K$43</f>
        <v>4.28</v>
      </c>
      <c r="L86" s="247">
        <f t="shared" ref="L86" si="136">((7/30)/12)/10</f>
        <v>1.944E-3</v>
      </c>
      <c r="M86" s="248">
        <f t="shared" ref="M86" si="137">L86*M$43</f>
        <v>4.28</v>
      </c>
      <c r="N86" s="247">
        <f t="shared" ref="N86" si="138">((7/30)/12)/10</f>
        <v>1.944E-3</v>
      </c>
      <c r="O86" s="248">
        <f t="shared" ref="O86" si="139">N86*O$43</f>
        <v>4.28</v>
      </c>
      <c r="P86" s="247">
        <f t="shared" ref="P86" si="140">((7/30)/12)/10</f>
        <v>1.944E-3</v>
      </c>
      <c r="Q86" s="248">
        <f t="shared" ref="Q86" si="141">P86*Q$43</f>
        <v>4.28</v>
      </c>
      <c r="R86" s="247">
        <f t="shared" ref="R86" si="142">((7/30)/12)/10</f>
        <v>1.944E-3</v>
      </c>
      <c r="S86" s="248">
        <f t="shared" ref="S86" si="143">R86*S$43</f>
        <v>4.28</v>
      </c>
    </row>
    <row r="87" spans="1:19">
      <c r="A87" s="69" t="s">
        <v>66</v>
      </c>
      <c r="B87" s="294" t="s">
        <v>128</v>
      </c>
      <c r="C87" s="294"/>
      <c r="D87" s="294"/>
      <c r="E87" s="294"/>
      <c r="F87" s="294"/>
      <c r="G87" s="294"/>
      <c r="H87" s="124">
        <f>H54</f>
        <v>0.36799999999999999</v>
      </c>
      <c r="I87" s="131">
        <f>H87*I86</f>
        <v>1.58</v>
      </c>
      <c r="J87" s="124">
        <f t="shared" ref="J87" si="144">J54</f>
        <v>0.36799999999999999</v>
      </c>
      <c r="K87" s="131">
        <f t="shared" ref="K87" si="145">J87*K86</f>
        <v>1.58</v>
      </c>
      <c r="L87" s="124">
        <f t="shared" ref="L87" si="146">L54</f>
        <v>0.36799999999999999</v>
      </c>
      <c r="M87" s="131">
        <f t="shared" ref="M87" si="147">L87*M86</f>
        <v>1.58</v>
      </c>
      <c r="N87" s="124">
        <f t="shared" ref="N87" si="148">N54</f>
        <v>0.36799999999999999</v>
      </c>
      <c r="O87" s="131">
        <f t="shared" ref="O87" si="149">N87*O86</f>
        <v>1.58</v>
      </c>
      <c r="P87" s="124">
        <f t="shared" ref="P87" si="150">P54</f>
        <v>0.36799999999999999</v>
      </c>
      <c r="Q87" s="131">
        <f t="shared" ref="Q87" si="151">P87*Q86</f>
        <v>1.58</v>
      </c>
      <c r="R87" s="124">
        <f t="shared" ref="R87" si="152">R54</f>
        <v>0.36799999999999999</v>
      </c>
      <c r="S87" s="131">
        <f t="shared" ref="S87" si="153">R87*S86</f>
        <v>1.58</v>
      </c>
    </row>
    <row r="88" spans="1:19" ht="12.75" customHeight="1">
      <c r="A88" s="126" t="s">
        <v>84</v>
      </c>
      <c r="B88" s="302" t="s">
        <v>129</v>
      </c>
      <c r="C88" s="303"/>
      <c r="D88" s="303"/>
      <c r="E88" s="303"/>
      <c r="F88" s="303"/>
      <c r="G88" s="284"/>
      <c r="H88" s="127">
        <f>8%*40%*'DADOS BÁSICOS 3º ANO'!$R8</f>
        <v>1.0800000000000001E-2</v>
      </c>
      <c r="I88" s="125">
        <f>I43*H88</f>
        <v>23.8</v>
      </c>
      <c r="J88" s="127">
        <f>8%*40%*'DADOS BÁSICOS 3º ANO'!$R8</f>
        <v>1.0800000000000001E-2</v>
      </c>
      <c r="K88" s="125">
        <f t="shared" ref="K88" si="154">K43*J88</f>
        <v>23.8</v>
      </c>
      <c r="L88" s="127">
        <f>8%*40%*'DADOS BÁSICOS 3º ANO'!$R8</f>
        <v>1.0800000000000001E-2</v>
      </c>
      <c r="M88" s="125">
        <f t="shared" ref="M88" si="155">M43*L88</f>
        <v>23.8</v>
      </c>
      <c r="N88" s="127">
        <f>8%*40%*'DADOS BÁSICOS 3º ANO'!$R8</f>
        <v>1.0800000000000001E-2</v>
      </c>
      <c r="O88" s="125">
        <f t="shared" ref="O88" si="156">O43*N88</f>
        <v>23.8</v>
      </c>
      <c r="P88" s="127">
        <f>8%*40%*'DADOS BÁSICOS 3º ANO'!$R8</f>
        <v>1.0800000000000001E-2</v>
      </c>
      <c r="Q88" s="125">
        <f t="shared" ref="Q88" si="157">Q43*P88</f>
        <v>23.8</v>
      </c>
      <c r="R88" s="127">
        <f>8%*40%*'DADOS BÁSICOS 3º ANO'!$R8</f>
        <v>1.0800000000000001E-2</v>
      </c>
      <c r="S88" s="125">
        <f t="shared" ref="S88" si="158">S43*R88</f>
        <v>23.8</v>
      </c>
    </row>
    <row r="89" spans="1:19">
      <c r="A89" s="287" t="s">
        <v>85</v>
      </c>
      <c r="B89" s="287"/>
      <c r="C89" s="287"/>
      <c r="D89" s="287"/>
      <c r="E89" s="287"/>
      <c r="F89" s="287"/>
      <c r="G89" s="287"/>
      <c r="H89" s="113"/>
      <c r="I89" s="80">
        <f>SUM(I83:I88)</f>
        <v>60.12</v>
      </c>
      <c r="J89" s="113"/>
      <c r="K89" s="80">
        <f>SUM(K83:K88)</f>
        <v>60.12</v>
      </c>
      <c r="L89" s="113"/>
      <c r="M89" s="80">
        <f>SUM(M83:M88)</f>
        <v>60.12</v>
      </c>
      <c r="N89" s="113"/>
      <c r="O89" s="80">
        <f>SUM(O83:O88)</f>
        <v>60.12</v>
      </c>
      <c r="P89" s="113"/>
      <c r="Q89" s="80">
        <f>SUM(Q83:Q88)</f>
        <v>60.12</v>
      </c>
      <c r="R89" s="113"/>
      <c r="S89" s="80">
        <f>SUM(S83:S88)</f>
        <v>60.12</v>
      </c>
    </row>
    <row r="90" spans="1:19">
      <c r="A90" s="304" t="s">
        <v>130</v>
      </c>
      <c r="B90" s="304"/>
      <c r="C90" s="304"/>
      <c r="D90" s="304"/>
      <c r="E90" s="304"/>
      <c r="F90" s="304"/>
      <c r="G90" s="304"/>
      <c r="H90" s="132" t="s">
        <v>93</v>
      </c>
      <c r="I90" s="133">
        <f>I29</f>
        <v>1806.53</v>
      </c>
      <c r="J90" s="132" t="s">
        <v>93</v>
      </c>
      <c r="K90" s="133">
        <f>K29</f>
        <v>1806.53</v>
      </c>
      <c r="L90" s="132" t="s">
        <v>93</v>
      </c>
      <c r="M90" s="133">
        <f>M29</f>
        <v>1806.53</v>
      </c>
      <c r="N90" s="132" t="s">
        <v>93</v>
      </c>
      <c r="O90" s="133">
        <f>O29</f>
        <v>1806.53</v>
      </c>
      <c r="P90" s="132" t="s">
        <v>93</v>
      </c>
      <c r="Q90" s="133">
        <f>Q29</f>
        <v>1806.53</v>
      </c>
      <c r="R90" s="132" t="s">
        <v>93</v>
      </c>
      <c r="S90" s="133">
        <f>S29</f>
        <v>1806.53</v>
      </c>
    </row>
    <row r="91" spans="1:19">
      <c r="A91" s="304"/>
      <c r="B91" s="304"/>
      <c r="C91" s="304"/>
      <c r="D91" s="304"/>
      <c r="E91" s="304"/>
      <c r="F91" s="304"/>
      <c r="G91" s="304"/>
      <c r="H91" s="132" t="s">
        <v>94</v>
      </c>
      <c r="I91" s="133">
        <f>I80</f>
        <v>1834.12</v>
      </c>
      <c r="J91" s="132" t="s">
        <v>94</v>
      </c>
      <c r="K91" s="133">
        <f>K80</f>
        <v>1785.72</v>
      </c>
      <c r="L91" s="132" t="s">
        <v>94</v>
      </c>
      <c r="M91" s="133">
        <f>M80</f>
        <v>1823.12</v>
      </c>
      <c r="N91" s="132" t="s">
        <v>94</v>
      </c>
      <c r="O91" s="133">
        <f>O80</f>
        <v>1825.32</v>
      </c>
      <c r="P91" s="132" t="s">
        <v>94</v>
      </c>
      <c r="Q91" s="133">
        <f>Q80</f>
        <v>1798.92</v>
      </c>
      <c r="R91" s="132" t="s">
        <v>94</v>
      </c>
      <c r="S91" s="133">
        <f>S80</f>
        <v>1825.32</v>
      </c>
    </row>
    <row r="92" spans="1:19">
      <c r="A92" s="304"/>
      <c r="B92" s="304"/>
      <c r="C92" s="304"/>
      <c r="D92" s="304"/>
      <c r="E92" s="304"/>
      <c r="F92" s="304"/>
      <c r="G92" s="304"/>
      <c r="H92" s="132" t="s">
        <v>95</v>
      </c>
      <c r="I92" s="133">
        <f>I89</f>
        <v>60.12</v>
      </c>
      <c r="J92" s="132" t="s">
        <v>95</v>
      </c>
      <c r="K92" s="133">
        <f>K89</f>
        <v>60.12</v>
      </c>
      <c r="L92" s="132" t="s">
        <v>95</v>
      </c>
      <c r="M92" s="133">
        <f>M89</f>
        <v>60.12</v>
      </c>
      <c r="N92" s="132" t="s">
        <v>95</v>
      </c>
      <c r="O92" s="133">
        <f>O89</f>
        <v>60.12</v>
      </c>
      <c r="P92" s="132" t="s">
        <v>95</v>
      </c>
      <c r="Q92" s="133">
        <f>Q89</f>
        <v>60.12</v>
      </c>
      <c r="R92" s="132" t="s">
        <v>95</v>
      </c>
      <c r="S92" s="133">
        <f>S89</f>
        <v>60.12</v>
      </c>
    </row>
    <row r="93" spans="1:19">
      <c r="A93" s="304"/>
      <c r="B93" s="304"/>
      <c r="C93" s="304"/>
      <c r="D93" s="304"/>
      <c r="E93" s="304"/>
      <c r="F93" s="304"/>
      <c r="G93" s="304"/>
      <c r="H93" s="132" t="s">
        <v>85</v>
      </c>
      <c r="I93" s="133">
        <f>SUM(I90:I92)</f>
        <v>3700.77</v>
      </c>
      <c r="J93" s="132" t="s">
        <v>85</v>
      </c>
      <c r="K93" s="133">
        <f>SUM(K90:K92)</f>
        <v>3652.37</v>
      </c>
      <c r="L93" s="132" t="s">
        <v>85</v>
      </c>
      <c r="M93" s="133">
        <f>SUM(M90:M92)</f>
        <v>3689.77</v>
      </c>
      <c r="N93" s="132" t="s">
        <v>85</v>
      </c>
      <c r="O93" s="133">
        <f>SUM(O90:O92)</f>
        <v>3691.97</v>
      </c>
      <c r="P93" s="132" t="s">
        <v>85</v>
      </c>
      <c r="Q93" s="133">
        <f>SUM(Q90:Q92)</f>
        <v>3665.57</v>
      </c>
      <c r="R93" s="132" t="s">
        <v>85</v>
      </c>
      <c r="S93" s="133">
        <f>SUM(S90:S92)</f>
        <v>3691.97</v>
      </c>
    </row>
    <row r="94" spans="1:19" ht="26.25" customHeight="1">
      <c r="A94" s="37" t="s">
        <v>131</v>
      </c>
      <c r="B94" s="134"/>
      <c r="C94" s="134"/>
      <c r="D94" s="134"/>
      <c r="E94" s="134"/>
      <c r="F94" s="134"/>
      <c r="G94" s="134"/>
      <c r="H94" s="135"/>
      <c r="I94" s="136"/>
      <c r="J94" s="135"/>
      <c r="K94" s="136"/>
      <c r="L94" s="135"/>
      <c r="M94" s="136"/>
      <c r="N94" s="135"/>
      <c r="O94" s="136"/>
      <c r="P94" s="135"/>
      <c r="Q94" s="136"/>
      <c r="R94" s="135"/>
      <c r="S94" s="136"/>
    </row>
    <row r="95" spans="1:19" s="137" customFormat="1" ht="63.75" customHeight="1">
      <c r="A95" s="138" t="s">
        <v>132</v>
      </c>
      <c r="B95" s="63" t="s">
        <v>133</v>
      </c>
      <c r="C95" s="63"/>
      <c r="D95" s="63"/>
      <c r="E95" s="63"/>
      <c r="F95" s="63"/>
      <c r="G95" s="63"/>
      <c r="H95" s="67" t="s">
        <v>134</v>
      </c>
      <c r="I95" s="68" t="s">
        <v>79</v>
      </c>
      <c r="J95" s="67" t="s">
        <v>134</v>
      </c>
      <c r="K95" s="68" t="s">
        <v>79</v>
      </c>
      <c r="L95" s="67" t="s">
        <v>134</v>
      </c>
      <c r="M95" s="68" t="s">
        <v>79</v>
      </c>
      <c r="N95" s="67" t="s">
        <v>134</v>
      </c>
      <c r="O95" s="68" t="s">
        <v>79</v>
      </c>
      <c r="P95" s="67" t="s">
        <v>134</v>
      </c>
      <c r="Q95" s="68" t="s">
        <v>79</v>
      </c>
      <c r="R95" s="67" t="s">
        <v>134</v>
      </c>
      <c r="S95" s="68" t="s">
        <v>79</v>
      </c>
    </row>
    <row r="96" spans="1:19" ht="16.5" customHeight="1">
      <c r="A96" s="69" t="s">
        <v>58</v>
      </c>
      <c r="B96" s="301" t="s">
        <v>135</v>
      </c>
      <c r="C96" s="301"/>
      <c r="D96" s="301"/>
      <c r="E96" s="301"/>
      <c r="F96" s="301"/>
      <c r="G96" s="301"/>
      <c r="H96" s="139">
        <f>'DADOS BÁSICOS 3º ANO'!$H$59</f>
        <v>4.8734000000000002</v>
      </c>
      <c r="I96" s="71">
        <f>SUM(I97:I104)</f>
        <v>50.1</v>
      </c>
      <c r="J96" s="139">
        <f>'DADOS BÁSICOS 3º ANO'!$H$59</f>
        <v>4.8734000000000002</v>
      </c>
      <c r="K96" s="71">
        <f t="shared" ref="K96" si="159">SUM(K97:K104)</f>
        <v>49.45</v>
      </c>
      <c r="L96" s="139">
        <f>'DADOS BÁSICOS 3º ANO'!$H$59</f>
        <v>4.8734000000000002</v>
      </c>
      <c r="M96" s="71">
        <f t="shared" ref="M96" si="160">SUM(M97:M104)</f>
        <v>49.95</v>
      </c>
      <c r="N96" s="139">
        <f>'DADOS BÁSICOS 3º ANO'!$H$59</f>
        <v>4.8734000000000002</v>
      </c>
      <c r="O96" s="71">
        <f t="shared" ref="O96" si="161">SUM(O97:O104)</f>
        <v>49.99</v>
      </c>
      <c r="P96" s="139">
        <f>'DADOS BÁSICOS 3º ANO'!$H$59</f>
        <v>4.8734000000000002</v>
      </c>
      <c r="Q96" s="71">
        <f t="shared" ref="Q96" si="162">SUM(Q97:Q104)</f>
        <v>49.62</v>
      </c>
      <c r="R96" s="139">
        <f>'DADOS BÁSICOS 3º ANO'!$H$59</f>
        <v>4.8734000000000002</v>
      </c>
      <c r="S96" s="71">
        <f t="shared" ref="S96" si="163">SUM(S97:S104)</f>
        <v>49.99</v>
      </c>
    </row>
    <row r="97" spans="1:19" ht="16.5" customHeight="1">
      <c r="A97" s="140" t="s">
        <v>219</v>
      </c>
      <c r="B97" s="300" t="s">
        <v>211</v>
      </c>
      <c r="C97" s="300"/>
      <c r="D97" s="300"/>
      <c r="E97" s="300"/>
      <c r="F97" s="300"/>
      <c r="G97" s="300"/>
      <c r="H97" s="139">
        <f>'DADOS BÁSICOS 3º ANO'!$H$60</f>
        <v>1</v>
      </c>
      <c r="I97" s="141">
        <f>((I$93/30)*H97)/H$10</f>
        <v>10.28</v>
      </c>
      <c r="J97" s="139">
        <f>'DADOS BÁSICOS 3º ANO'!$H$60</f>
        <v>1</v>
      </c>
      <c r="K97" s="141">
        <f>((K$93/30)*J97)/J$10</f>
        <v>10.15</v>
      </c>
      <c r="L97" s="139">
        <f>'DADOS BÁSICOS 3º ANO'!$H$60</f>
        <v>1</v>
      </c>
      <c r="M97" s="141">
        <f>((M$93/30)*L97)/L$10</f>
        <v>10.25</v>
      </c>
      <c r="N97" s="139">
        <f>'DADOS BÁSICOS 3º ANO'!$H$60</f>
        <v>1</v>
      </c>
      <c r="O97" s="141">
        <f>((O$93/30)*N97)/N$10</f>
        <v>10.26</v>
      </c>
      <c r="P97" s="139">
        <f>'DADOS BÁSICOS 3º ANO'!$H$60</f>
        <v>1</v>
      </c>
      <c r="Q97" s="141">
        <f>((Q$93/30)*P97)/P$10</f>
        <v>10.18</v>
      </c>
      <c r="R97" s="139">
        <f>'DADOS BÁSICOS 3º ANO'!$H$60</f>
        <v>1</v>
      </c>
      <c r="S97" s="141">
        <f>((S$93/30)*R97)/R$10</f>
        <v>10.26</v>
      </c>
    </row>
    <row r="98" spans="1:19" ht="16.5" customHeight="1">
      <c r="A98" s="140" t="s">
        <v>221</v>
      </c>
      <c r="B98" s="300" t="s">
        <v>212</v>
      </c>
      <c r="C98" s="300"/>
      <c r="D98" s="300"/>
      <c r="E98" s="300"/>
      <c r="F98" s="300"/>
      <c r="G98" s="300"/>
      <c r="H98" s="139">
        <f>'DADOS BÁSICOS 3º ANO'!$H$61</f>
        <v>3.4929999999999999</v>
      </c>
      <c r="I98" s="141">
        <f>((I$93/30)*H98)/H$10</f>
        <v>35.909999999999997</v>
      </c>
      <c r="J98" s="139">
        <f>'DADOS BÁSICOS 3º ANO'!$H$61</f>
        <v>3.4929999999999999</v>
      </c>
      <c r="K98" s="141">
        <f>((K$93/30)*J98)/J$10</f>
        <v>35.44</v>
      </c>
      <c r="L98" s="139">
        <f>'DADOS BÁSICOS 3º ANO'!$H$61</f>
        <v>3.4929999999999999</v>
      </c>
      <c r="M98" s="141">
        <f>((M$93/30)*L98)/L$10</f>
        <v>35.799999999999997</v>
      </c>
      <c r="N98" s="139">
        <f>'DADOS BÁSICOS 3º ANO'!$H$61</f>
        <v>3.4929999999999999</v>
      </c>
      <c r="O98" s="141">
        <f>((O$93/30)*N98)/N$10</f>
        <v>35.82</v>
      </c>
      <c r="P98" s="139">
        <f>'DADOS BÁSICOS 3º ANO'!$H$61</f>
        <v>3.4929999999999999</v>
      </c>
      <c r="Q98" s="141">
        <f>((Q$93/30)*P98)/P$10</f>
        <v>35.57</v>
      </c>
      <c r="R98" s="139">
        <f>'DADOS BÁSICOS 3º ANO'!$H$61</f>
        <v>3.4929999999999999</v>
      </c>
      <c r="S98" s="141">
        <f>((S$93/30)*R98)/R$10</f>
        <v>35.82</v>
      </c>
    </row>
    <row r="99" spans="1:19" ht="16.5" customHeight="1">
      <c r="A99" s="140" t="s">
        <v>222</v>
      </c>
      <c r="B99" s="300" t="s">
        <v>213</v>
      </c>
      <c r="C99" s="300"/>
      <c r="D99" s="300"/>
      <c r="E99" s="300"/>
      <c r="F99" s="300"/>
      <c r="G99" s="300"/>
      <c r="H99" s="139">
        <f>'DADOS BÁSICOS 3º ANO'!$H$62</f>
        <v>0.26879999999999998</v>
      </c>
      <c r="I99" s="141">
        <f t="shared" ref="I99:I108" si="164">(I$93/30)*(H99/H$10)</f>
        <v>2.76</v>
      </c>
      <c r="J99" s="139">
        <f>'DADOS BÁSICOS 3º ANO'!$H$62</f>
        <v>0.26879999999999998</v>
      </c>
      <c r="K99" s="141">
        <f t="shared" ref="K99:K108" si="165">(K$93/30)*(J99/J$10)</f>
        <v>2.73</v>
      </c>
      <c r="L99" s="139">
        <f>'DADOS BÁSICOS 3º ANO'!$H$62</f>
        <v>0.26879999999999998</v>
      </c>
      <c r="M99" s="141">
        <f t="shared" ref="M99:M108" si="166">(M$93/30)*(L99/L$10)</f>
        <v>2.76</v>
      </c>
      <c r="N99" s="139">
        <f>'DADOS BÁSICOS 3º ANO'!$H$62</f>
        <v>0.26879999999999998</v>
      </c>
      <c r="O99" s="141">
        <f t="shared" ref="O99:O108" si="167">(O$93/30)*(N99/N$10)</f>
        <v>2.76</v>
      </c>
      <c r="P99" s="139">
        <f>'DADOS BÁSICOS 3º ANO'!$H$62</f>
        <v>0.26879999999999998</v>
      </c>
      <c r="Q99" s="141">
        <f t="shared" ref="Q99:Q108" si="168">(Q$93/30)*(P99/P$10)</f>
        <v>2.74</v>
      </c>
      <c r="R99" s="139">
        <f>'DADOS BÁSICOS 3º ANO'!$H$62</f>
        <v>0.26879999999999998</v>
      </c>
      <c r="S99" s="141">
        <f t="shared" ref="S99:S108" si="169">(S$93/30)*(R99/R$10)</f>
        <v>2.76</v>
      </c>
    </row>
    <row r="100" spans="1:19" ht="16.5" customHeight="1">
      <c r="A100" s="140" t="s">
        <v>228</v>
      </c>
      <c r="B100" s="300" t="s">
        <v>214</v>
      </c>
      <c r="C100" s="300"/>
      <c r="D100" s="300"/>
      <c r="E100" s="300"/>
      <c r="F100" s="300"/>
      <c r="G100" s="300"/>
      <c r="H100" s="139">
        <f>'DADOS BÁSICOS 3º ANO'!$H$63</f>
        <v>4.2599999999999999E-2</v>
      </c>
      <c r="I100" s="141">
        <f t="shared" si="164"/>
        <v>0.44</v>
      </c>
      <c r="J100" s="139">
        <f>'DADOS BÁSICOS 3º ANO'!$H$63</f>
        <v>4.2599999999999999E-2</v>
      </c>
      <c r="K100" s="141">
        <f t="shared" si="165"/>
        <v>0.43</v>
      </c>
      <c r="L100" s="139">
        <f>'DADOS BÁSICOS 3º ANO'!$H$63</f>
        <v>4.2599999999999999E-2</v>
      </c>
      <c r="M100" s="141">
        <f t="shared" si="166"/>
        <v>0.44</v>
      </c>
      <c r="N100" s="139">
        <f>'DADOS BÁSICOS 3º ANO'!$H$63</f>
        <v>4.2599999999999999E-2</v>
      </c>
      <c r="O100" s="141">
        <f t="shared" si="167"/>
        <v>0.44</v>
      </c>
      <c r="P100" s="139">
        <f>'DADOS BÁSICOS 3º ANO'!$H$63</f>
        <v>4.2599999999999999E-2</v>
      </c>
      <c r="Q100" s="141">
        <f t="shared" si="168"/>
        <v>0.43</v>
      </c>
      <c r="R100" s="139">
        <f>'DADOS BÁSICOS 3º ANO'!$H$63</f>
        <v>4.2599999999999999E-2</v>
      </c>
      <c r="S100" s="141">
        <f t="shared" si="169"/>
        <v>0.44</v>
      </c>
    </row>
    <row r="101" spans="1:19" ht="16.5" customHeight="1">
      <c r="A101" s="140" t="s">
        <v>229</v>
      </c>
      <c r="B101" s="300" t="s">
        <v>215</v>
      </c>
      <c r="C101" s="300"/>
      <c r="D101" s="300"/>
      <c r="E101" s="300"/>
      <c r="F101" s="300"/>
      <c r="G101" s="300"/>
      <c r="H101" s="139">
        <f>'DADOS BÁSICOS 3º ANO'!$H$64</f>
        <v>3.5400000000000001E-2</v>
      </c>
      <c r="I101" s="141">
        <f t="shared" si="164"/>
        <v>0.36</v>
      </c>
      <c r="J101" s="139">
        <f>'DADOS BÁSICOS 3º ANO'!$H$64</f>
        <v>3.5400000000000001E-2</v>
      </c>
      <c r="K101" s="141">
        <f t="shared" si="165"/>
        <v>0.36</v>
      </c>
      <c r="L101" s="139">
        <f>'DADOS BÁSICOS 3º ANO'!$H$64</f>
        <v>3.5400000000000001E-2</v>
      </c>
      <c r="M101" s="141">
        <f t="shared" si="166"/>
        <v>0.36</v>
      </c>
      <c r="N101" s="139">
        <f>'DADOS BÁSICOS 3º ANO'!$H$64</f>
        <v>3.5400000000000001E-2</v>
      </c>
      <c r="O101" s="141">
        <f t="shared" si="167"/>
        <v>0.36</v>
      </c>
      <c r="P101" s="139">
        <f>'DADOS BÁSICOS 3º ANO'!$H$64</f>
        <v>3.5400000000000001E-2</v>
      </c>
      <c r="Q101" s="141">
        <f t="shared" si="168"/>
        <v>0.36</v>
      </c>
      <c r="R101" s="139">
        <f>'DADOS BÁSICOS 3º ANO'!$H$64</f>
        <v>3.5400000000000001E-2</v>
      </c>
      <c r="S101" s="141">
        <f t="shared" si="169"/>
        <v>0.36</v>
      </c>
    </row>
    <row r="102" spans="1:19" ht="16.5" customHeight="1">
      <c r="A102" s="140" t="s">
        <v>230</v>
      </c>
      <c r="B102" s="300" t="s">
        <v>216</v>
      </c>
      <c r="C102" s="300"/>
      <c r="D102" s="300"/>
      <c r="E102" s="300"/>
      <c r="F102" s="300"/>
      <c r="G102" s="300"/>
      <c r="H102" s="139">
        <f>'DADOS BÁSICOS 3º ANO'!$H$65</f>
        <v>0.02</v>
      </c>
      <c r="I102" s="141">
        <f t="shared" si="164"/>
        <v>0.21</v>
      </c>
      <c r="J102" s="139">
        <f>'DADOS BÁSICOS 3º ANO'!$H$65</f>
        <v>0.02</v>
      </c>
      <c r="K102" s="141">
        <f t="shared" si="165"/>
        <v>0.2</v>
      </c>
      <c r="L102" s="139">
        <f>'DADOS BÁSICOS 3º ANO'!$H$65</f>
        <v>0.02</v>
      </c>
      <c r="M102" s="141">
        <f t="shared" si="166"/>
        <v>0.2</v>
      </c>
      <c r="N102" s="139">
        <f>'DADOS BÁSICOS 3º ANO'!$H$65</f>
        <v>0.02</v>
      </c>
      <c r="O102" s="141">
        <f t="shared" si="167"/>
        <v>0.21</v>
      </c>
      <c r="P102" s="139">
        <f>'DADOS BÁSICOS 3º ANO'!$H$65</f>
        <v>0.02</v>
      </c>
      <c r="Q102" s="141">
        <f t="shared" si="168"/>
        <v>0.2</v>
      </c>
      <c r="R102" s="139">
        <f>'DADOS BÁSICOS 3º ANO'!$H$65</f>
        <v>0.02</v>
      </c>
      <c r="S102" s="141">
        <f t="shared" si="169"/>
        <v>0.21</v>
      </c>
    </row>
    <row r="103" spans="1:19" ht="16.5" customHeight="1">
      <c r="A103" s="140" t="s">
        <v>231</v>
      </c>
      <c r="B103" s="300" t="s">
        <v>217</v>
      </c>
      <c r="C103" s="300"/>
      <c r="D103" s="300"/>
      <c r="E103" s="300"/>
      <c r="F103" s="300"/>
      <c r="G103" s="300"/>
      <c r="H103" s="139">
        <f>'DADOS BÁSICOS 3º ANO'!$H$66</f>
        <v>4.0000000000000001E-3</v>
      </c>
      <c r="I103" s="141">
        <f t="shared" si="164"/>
        <v>0.04</v>
      </c>
      <c r="J103" s="139">
        <f>'DADOS BÁSICOS 3º ANO'!$H$66</f>
        <v>4.0000000000000001E-3</v>
      </c>
      <c r="K103" s="141">
        <f t="shared" si="165"/>
        <v>0.04</v>
      </c>
      <c r="L103" s="139">
        <f>'DADOS BÁSICOS 3º ANO'!$H$66</f>
        <v>4.0000000000000001E-3</v>
      </c>
      <c r="M103" s="141">
        <f t="shared" si="166"/>
        <v>0.04</v>
      </c>
      <c r="N103" s="139">
        <f>'DADOS BÁSICOS 3º ANO'!$H$66</f>
        <v>4.0000000000000001E-3</v>
      </c>
      <c r="O103" s="141">
        <f t="shared" si="167"/>
        <v>0.04</v>
      </c>
      <c r="P103" s="139">
        <f>'DADOS BÁSICOS 3º ANO'!$H$66</f>
        <v>4.0000000000000001E-3</v>
      </c>
      <c r="Q103" s="141">
        <f t="shared" si="168"/>
        <v>0.04</v>
      </c>
      <c r="R103" s="139">
        <f>'DADOS BÁSICOS 3º ANO'!$H$66</f>
        <v>4.0000000000000001E-3</v>
      </c>
      <c r="S103" s="141">
        <f t="shared" si="169"/>
        <v>0.04</v>
      </c>
    </row>
    <row r="104" spans="1:19" ht="16.5" customHeight="1">
      <c r="A104" s="140" t="s">
        <v>232</v>
      </c>
      <c r="B104" s="300" t="s">
        <v>218</v>
      </c>
      <c r="C104" s="300"/>
      <c r="D104" s="300"/>
      <c r="E104" s="300"/>
      <c r="F104" s="300"/>
      <c r="G104" s="300"/>
      <c r="H104" s="139">
        <f>'DADOS BÁSICOS 3º ANO'!$H$67</f>
        <v>9.5999999999999992E-3</v>
      </c>
      <c r="I104" s="141">
        <f t="shared" si="164"/>
        <v>0.1</v>
      </c>
      <c r="J104" s="139">
        <f>'DADOS BÁSICOS 3º ANO'!$H$67</f>
        <v>9.5999999999999992E-3</v>
      </c>
      <c r="K104" s="141">
        <f t="shared" si="165"/>
        <v>0.1</v>
      </c>
      <c r="L104" s="139">
        <f>'DADOS BÁSICOS 3º ANO'!$H$67</f>
        <v>9.5999999999999992E-3</v>
      </c>
      <c r="M104" s="141">
        <f t="shared" si="166"/>
        <v>0.1</v>
      </c>
      <c r="N104" s="139">
        <f>'DADOS BÁSICOS 3º ANO'!$H$67</f>
        <v>9.5999999999999992E-3</v>
      </c>
      <c r="O104" s="141">
        <f t="shared" si="167"/>
        <v>0.1</v>
      </c>
      <c r="P104" s="139">
        <f>'DADOS BÁSICOS 3º ANO'!$H$67</f>
        <v>9.5999999999999992E-3</v>
      </c>
      <c r="Q104" s="141">
        <f t="shared" si="168"/>
        <v>0.1</v>
      </c>
      <c r="R104" s="139">
        <f>'DADOS BÁSICOS 3º ANO'!$H$67</f>
        <v>9.5999999999999992E-3</v>
      </c>
      <c r="S104" s="141">
        <f t="shared" si="169"/>
        <v>0.1</v>
      </c>
    </row>
    <row r="105" spans="1:19" ht="16.5" customHeight="1">
      <c r="A105" s="69" t="s">
        <v>60</v>
      </c>
      <c r="B105" s="301" t="s">
        <v>136</v>
      </c>
      <c r="C105" s="301"/>
      <c r="D105" s="301"/>
      <c r="E105" s="301"/>
      <c r="F105" s="301"/>
      <c r="G105" s="301"/>
      <c r="H105" s="139">
        <f>'DADOS BÁSICOS 3º ANO'!$H$68</f>
        <v>0.19980000000000001</v>
      </c>
      <c r="I105" s="71">
        <f t="shared" si="164"/>
        <v>2.0499999999999998</v>
      </c>
      <c r="J105" s="139">
        <f>'DADOS BÁSICOS 3º ANO'!$H$68</f>
        <v>0.19980000000000001</v>
      </c>
      <c r="K105" s="71">
        <f t="shared" si="165"/>
        <v>2.0299999999999998</v>
      </c>
      <c r="L105" s="139">
        <f>'DADOS BÁSICOS 3º ANO'!$H$68</f>
        <v>0.19980000000000001</v>
      </c>
      <c r="M105" s="71">
        <f t="shared" si="166"/>
        <v>2.0499999999999998</v>
      </c>
      <c r="N105" s="139">
        <f>'DADOS BÁSICOS 3º ANO'!$H$68</f>
        <v>0.19980000000000001</v>
      </c>
      <c r="O105" s="71">
        <f t="shared" si="167"/>
        <v>2.0499999999999998</v>
      </c>
      <c r="P105" s="139">
        <f>'DADOS BÁSICOS 3º ANO'!$H$68</f>
        <v>0.19980000000000001</v>
      </c>
      <c r="Q105" s="71">
        <f t="shared" si="168"/>
        <v>2.0299999999999998</v>
      </c>
      <c r="R105" s="139">
        <f>'DADOS BÁSICOS 3º ANO'!$H$68</f>
        <v>0.19980000000000001</v>
      </c>
      <c r="S105" s="71">
        <f t="shared" si="169"/>
        <v>2.0499999999999998</v>
      </c>
    </row>
    <row r="106" spans="1:19" ht="16.5" customHeight="1">
      <c r="A106" s="69" t="s">
        <v>62</v>
      </c>
      <c r="B106" s="301" t="s">
        <v>137</v>
      </c>
      <c r="C106" s="301"/>
      <c r="D106" s="301"/>
      <c r="E106" s="301"/>
      <c r="F106" s="301"/>
      <c r="G106" s="301"/>
      <c r="H106" s="139">
        <f>'DADOS BÁSICOS 3º ANO'!$H$69</f>
        <v>0.96619999999999995</v>
      </c>
      <c r="I106" s="71">
        <f t="shared" si="164"/>
        <v>9.93</v>
      </c>
      <c r="J106" s="139">
        <f>'DADOS BÁSICOS 3º ANO'!$H$69</f>
        <v>0.96619999999999995</v>
      </c>
      <c r="K106" s="71">
        <f t="shared" si="165"/>
        <v>9.8000000000000007</v>
      </c>
      <c r="L106" s="139">
        <f>'DADOS BÁSICOS 3º ANO'!$H$69</f>
        <v>0.96619999999999995</v>
      </c>
      <c r="M106" s="71">
        <f t="shared" si="166"/>
        <v>9.9</v>
      </c>
      <c r="N106" s="139">
        <f>'DADOS BÁSICOS 3º ANO'!$H$69</f>
        <v>0.96619999999999995</v>
      </c>
      <c r="O106" s="71">
        <f t="shared" si="167"/>
        <v>9.91</v>
      </c>
      <c r="P106" s="139">
        <f>'DADOS BÁSICOS 3º ANO'!$H$69</f>
        <v>0.96619999999999995</v>
      </c>
      <c r="Q106" s="71">
        <f t="shared" si="168"/>
        <v>9.84</v>
      </c>
      <c r="R106" s="139">
        <f>'DADOS BÁSICOS 3º ANO'!$H$69</f>
        <v>0.96619999999999995</v>
      </c>
      <c r="S106" s="71">
        <f t="shared" si="169"/>
        <v>9.91</v>
      </c>
    </row>
    <row r="107" spans="1:19" ht="16.5" customHeight="1">
      <c r="A107" s="69" t="s">
        <v>64</v>
      </c>
      <c r="B107" s="301" t="s">
        <v>138</v>
      </c>
      <c r="C107" s="301"/>
      <c r="D107" s="301"/>
      <c r="E107" s="301"/>
      <c r="F107" s="301"/>
      <c r="G107" s="301"/>
      <c r="H107" s="139">
        <f>'DADOS BÁSICOS 3º ANO'!$H$70</f>
        <v>2.4771999999999998</v>
      </c>
      <c r="I107" s="71">
        <f t="shared" si="164"/>
        <v>25.47</v>
      </c>
      <c r="J107" s="139">
        <f>'DADOS BÁSICOS 3º ANO'!$H$70</f>
        <v>2.4771999999999998</v>
      </c>
      <c r="K107" s="71">
        <f t="shared" si="165"/>
        <v>25.13</v>
      </c>
      <c r="L107" s="139">
        <f>'DADOS BÁSICOS 3º ANO'!$H$70</f>
        <v>2.4771999999999998</v>
      </c>
      <c r="M107" s="71">
        <f t="shared" si="166"/>
        <v>25.39</v>
      </c>
      <c r="N107" s="139">
        <f>'DADOS BÁSICOS 3º ANO'!$H$70</f>
        <v>2.4771999999999998</v>
      </c>
      <c r="O107" s="71">
        <f t="shared" si="167"/>
        <v>25.4</v>
      </c>
      <c r="P107" s="139">
        <f>'DADOS BÁSICOS 3º ANO'!$H$70</f>
        <v>2.4771999999999998</v>
      </c>
      <c r="Q107" s="71">
        <f t="shared" si="168"/>
        <v>25.22</v>
      </c>
      <c r="R107" s="139">
        <f>'DADOS BÁSICOS 3º ANO'!$H$70</f>
        <v>2.4771999999999998</v>
      </c>
      <c r="S107" s="71">
        <f t="shared" si="169"/>
        <v>25.4</v>
      </c>
    </row>
    <row r="108" spans="1:19" ht="16.5" customHeight="1">
      <c r="A108" s="41" t="s">
        <v>66</v>
      </c>
      <c r="B108" s="301" t="s">
        <v>139</v>
      </c>
      <c r="C108" s="301"/>
      <c r="D108" s="301"/>
      <c r="E108" s="301"/>
      <c r="F108" s="301"/>
      <c r="G108" s="301"/>
      <c r="H108" s="139">
        <f>'DADOS BÁSICOS 3º ANO'!$H$71</f>
        <v>0</v>
      </c>
      <c r="I108" s="71">
        <f t="shared" si="164"/>
        <v>0</v>
      </c>
      <c r="J108" s="139">
        <f>'DADOS BÁSICOS 3º ANO'!$H$71</f>
        <v>0</v>
      </c>
      <c r="K108" s="71">
        <f t="shared" si="165"/>
        <v>0</v>
      </c>
      <c r="L108" s="139">
        <f>'DADOS BÁSICOS 3º ANO'!$H$71</f>
        <v>0</v>
      </c>
      <c r="M108" s="71">
        <f t="shared" si="166"/>
        <v>0</v>
      </c>
      <c r="N108" s="139">
        <f>'DADOS BÁSICOS 3º ANO'!$H$71</f>
        <v>0</v>
      </c>
      <c r="O108" s="71">
        <f t="shared" si="167"/>
        <v>0</v>
      </c>
      <c r="P108" s="139">
        <f>'DADOS BÁSICOS 3º ANO'!$H$71</f>
        <v>0</v>
      </c>
      <c r="Q108" s="71">
        <f t="shared" si="168"/>
        <v>0</v>
      </c>
      <c r="R108" s="139">
        <f>'DADOS BÁSICOS 3º ANO'!$H$71</f>
        <v>0</v>
      </c>
      <c r="S108" s="71">
        <f t="shared" si="169"/>
        <v>0</v>
      </c>
    </row>
    <row r="109" spans="1:19">
      <c r="A109" s="287" t="s">
        <v>85</v>
      </c>
      <c r="B109" s="287"/>
      <c r="C109" s="287"/>
      <c r="D109" s="287"/>
      <c r="E109" s="287"/>
      <c r="F109" s="287"/>
      <c r="G109" s="287"/>
      <c r="H109" s="142">
        <f>H96+H105+H106+H107+H108</f>
        <v>8.5166000000000004</v>
      </c>
      <c r="I109" s="80">
        <f>I96+I105+I106+I107+I108</f>
        <v>87.55</v>
      </c>
      <c r="J109" s="142">
        <f>$H109</f>
        <v>8.5166000000000004</v>
      </c>
      <c r="K109" s="80">
        <f>K96+K105+K106+K107+K108</f>
        <v>86.41</v>
      </c>
      <c r="L109" s="142">
        <f>$H109</f>
        <v>8.5166000000000004</v>
      </c>
      <c r="M109" s="80">
        <f>M96+M105+M106+M107+M108</f>
        <v>87.29</v>
      </c>
      <c r="N109" s="142">
        <f>$H109</f>
        <v>8.5166000000000004</v>
      </c>
      <c r="O109" s="80">
        <f>O96+O105+O106+O107+O108</f>
        <v>87.35</v>
      </c>
      <c r="P109" s="142">
        <f>$H109</f>
        <v>8.5166000000000004</v>
      </c>
      <c r="Q109" s="80">
        <f>Q96+Q105+Q106+Q107+Q108</f>
        <v>86.71</v>
      </c>
      <c r="R109" s="142">
        <f>$H109</f>
        <v>8.5166000000000004</v>
      </c>
      <c r="S109" s="80">
        <f>S96+S105+S106+S107+S108</f>
        <v>87.35</v>
      </c>
    </row>
    <row r="110" spans="1:19">
      <c r="A110" s="143" t="s">
        <v>140</v>
      </c>
      <c r="B110" s="290" t="s">
        <v>141</v>
      </c>
      <c r="C110" s="290"/>
      <c r="D110" s="290"/>
      <c r="E110" s="290"/>
      <c r="F110" s="290"/>
      <c r="G110" s="290"/>
      <c r="H110" s="144"/>
      <c r="I110" s="145" t="s">
        <v>79</v>
      </c>
      <c r="J110" s="144"/>
      <c r="K110" s="145" t="s">
        <v>79</v>
      </c>
      <c r="L110" s="144"/>
      <c r="M110" s="145" t="s">
        <v>79</v>
      </c>
      <c r="N110" s="144"/>
      <c r="O110" s="145" t="s">
        <v>79</v>
      </c>
      <c r="P110" s="144"/>
      <c r="Q110" s="145" t="s">
        <v>79</v>
      </c>
      <c r="R110" s="144"/>
      <c r="S110" s="145" t="s">
        <v>79</v>
      </c>
    </row>
    <row r="111" spans="1:19" ht="16.5" customHeight="1">
      <c r="A111" s="69" t="s">
        <v>58</v>
      </c>
      <c r="B111" s="286" t="s">
        <v>142</v>
      </c>
      <c r="C111" s="286"/>
      <c r="D111" s="286"/>
      <c r="E111" s="286"/>
      <c r="F111" s="286"/>
      <c r="G111" s="286"/>
      <c r="H111" s="48"/>
      <c r="I111" s="146">
        <v>0</v>
      </c>
      <c r="J111" s="48"/>
      <c r="K111" s="146">
        <v>0</v>
      </c>
      <c r="L111" s="48"/>
      <c r="M111" s="146">
        <v>0</v>
      </c>
      <c r="N111" s="48"/>
      <c r="O111" s="146">
        <v>0</v>
      </c>
      <c r="P111" s="48"/>
      <c r="Q111" s="146">
        <v>0</v>
      </c>
      <c r="R111" s="48"/>
      <c r="S111" s="146">
        <v>0</v>
      </c>
    </row>
    <row r="112" spans="1:19">
      <c r="A112" s="287" t="s">
        <v>85</v>
      </c>
      <c r="B112" s="287"/>
      <c r="C112" s="287"/>
      <c r="D112" s="287"/>
      <c r="E112" s="287"/>
      <c r="F112" s="287"/>
      <c r="G112" s="287"/>
      <c r="H112" s="113"/>
      <c r="I112" s="147">
        <f>SUM(I111:I111)</f>
        <v>0</v>
      </c>
      <c r="J112" s="113"/>
      <c r="K112" s="147">
        <f>SUM(K111:K111)</f>
        <v>0</v>
      </c>
      <c r="L112" s="113"/>
      <c r="M112" s="147">
        <f>SUM(M111:M111)</f>
        <v>0</v>
      </c>
      <c r="N112" s="113"/>
      <c r="O112" s="147">
        <f>SUM(O111:O111)</f>
        <v>0</v>
      </c>
      <c r="P112" s="113"/>
      <c r="Q112" s="147">
        <f>SUM(Q111:Q111)</f>
        <v>0</v>
      </c>
      <c r="R112" s="113"/>
      <c r="S112" s="147">
        <f>SUM(S111:S111)</f>
        <v>0</v>
      </c>
    </row>
    <row r="113" spans="1:20" ht="21.75" customHeight="1">
      <c r="A113" s="37" t="s">
        <v>143</v>
      </c>
      <c r="B113" s="63"/>
      <c r="C113" s="63"/>
      <c r="D113" s="63"/>
      <c r="E113" s="63"/>
      <c r="F113" s="63"/>
      <c r="G113" s="63"/>
      <c r="H113" s="64"/>
      <c r="I113" s="65"/>
      <c r="J113" s="64"/>
      <c r="K113" s="65"/>
      <c r="L113" s="64"/>
      <c r="M113" s="65"/>
      <c r="N113" s="64"/>
      <c r="O113" s="65"/>
      <c r="P113" s="64"/>
      <c r="Q113" s="65"/>
      <c r="R113" s="64"/>
      <c r="S113" s="65"/>
    </row>
    <row r="114" spans="1:20" ht="12.75" customHeight="1">
      <c r="A114" s="66">
        <v>4</v>
      </c>
      <c r="B114" s="288" t="s">
        <v>144</v>
      </c>
      <c r="C114" s="288"/>
      <c r="D114" s="288"/>
      <c r="E114" s="288"/>
      <c r="F114" s="288"/>
      <c r="G114" s="288"/>
      <c r="H114" s="148"/>
      <c r="I114" s="68" t="s">
        <v>79</v>
      </c>
      <c r="J114" s="148"/>
      <c r="K114" s="68" t="s">
        <v>79</v>
      </c>
      <c r="L114" s="148"/>
      <c r="M114" s="68" t="s">
        <v>79</v>
      </c>
      <c r="N114" s="148"/>
      <c r="O114" s="68" t="s">
        <v>79</v>
      </c>
      <c r="P114" s="148"/>
      <c r="Q114" s="68" t="s">
        <v>79</v>
      </c>
      <c r="R114" s="148"/>
      <c r="S114" s="68" t="s">
        <v>79</v>
      </c>
    </row>
    <row r="115" spans="1:20" ht="12.75" customHeight="1">
      <c r="A115" s="85" t="s">
        <v>132</v>
      </c>
      <c r="B115" s="284" t="s">
        <v>133</v>
      </c>
      <c r="C115" s="284"/>
      <c r="D115" s="284"/>
      <c r="E115" s="284"/>
      <c r="F115" s="284"/>
      <c r="G115" s="284"/>
      <c r="H115" s="149"/>
      <c r="I115" s="71">
        <f>I109</f>
        <v>87.55</v>
      </c>
      <c r="J115" s="149"/>
      <c r="K115" s="71">
        <f>K109</f>
        <v>86.41</v>
      </c>
      <c r="L115" s="149"/>
      <c r="M115" s="71">
        <f>M109</f>
        <v>87.29</v>
      </c>
      <c r="N115" s="149"/>
      <c r="O115" s="71">
        <f>O109</f>
        <v>87.35</v>
      </c>
      <c r="P115" s="149"/>
      <c r="Q115" s="71">
        <f>Q109</f>
        <v>86.71</v>
      </c>
      <c r="R115" s="149"/>
      <c r="S115" s="71">
        <f>S109</f>
        <v>87.35</v>
      </c>
    </row>
    <row r="116" spans="1:20" ht="12.75" customHeight="1">
      <c r="A116" s="85" t="s">
        <v>140</v>
      </c>
      <c r="B116" s="299" t="s">
        <v>145</v>
      </c>
      <c r="C116" s="299"/>
      <c r="D116" s="299"/>
      <c r="E116" s="299"/>
      <c r="F116" s="299"/>
      <c r="G116" s="299"/>
      <c r="H116" s="150"/>
      <c r="I116" s="71">
        <f>I112</f>
        <v>0</v>
      </c>
      <c r="J116" s="150"/>
      <c r="K116" s="71">
        <f>K112</f>
        <v>0</v>
      </c>
      <c r="L116" s="150"/>
      <c r="M116" s="71">
        <f>M112</f>
        <v>0</v>
      </c>
      <c r="N116" s="150"/>
      <c r="O116" s="71">
        <f>O112</f>
        <v>0</v>
      </c>
      <c r="P116" s="150"/>
      <c r="Q116" s="71">
        <f>Q112</f>
        <v>0</v>
      </c>
      <c r="R116" s="150"/>
      <c r="S116" s="71">
        <f>S112</f>
        <v>0</v>
      </c>
    </row>
    <row r="117" spans="1:20">
      <c r="A117" s="298" t="s">
        <v>85</v>
      </c>
      <c r="B117" s="298"/>
      <c r="C117" s="298"/>
      <c r="D117" s="298"/>
      <c r="E117" s="298"/>
      <c r="F117" s="298"/>
      <c r="G117" s="298"/>
      <c r="H117" s="151"/>
      <c r="I117" s="80">
        <f>SUM(I115:I116)</f>
        <v>87.55</v>
      </c>
      <c r="J117" s="151"/>
      <c r="K117" s="80">
        <f>SUM(K115:K116)</f>
        <v>86.41</v>
      </c>
      <c r="L117" s="151"/>
      <c r="M117" s="80">
        <f>SUM(M115:M116)</f>
        <v>87.29</v>
      </c>
      <c r="N117" s="151"/>
      <c r="O117" s="80">
        <f>SUM(O115:O116)</f>
        <v>87.35</v>
      </c>
      <c r="P117" s="151"/>
      <c r="Q117" s="80">
        <f>SUM(Q115:Q116)</f>
        <v>86.71</v>
      </c>
      <c r="R117" s="151"/>
      <c r="S117" s="80">
        <f>SUM(S115:S116)</f>
        <v>87.35</v>
      </c>
    </row>
    <row r="118" spans="1:20" ht="18.75" customHeight="1">
      <c r="A118" s="37" t="s">
        <v>146</v>
      </c>
      <c r="B118" s="38"/>
      <c r="C118" s="38"/>
      <c r="D118" s="38"/>
      <c r="E118" s="38"/>
      <c r="F118" s="38"/>
      <c r="G118" s="38"/>
      <c r="H118" s="39"/>
      <c r="I118" s="40"/>
      <c r="J118" s="39"/>
      <c r="K118" s="40"/>
      <c r="L118" s="39"/>
      <c r="M118" s="40"/>
      <c r="N118" s="39"/>
      <c r="O118" s="40"/>
      <c r="P118" s="39"/>
      <c r="Q118" s="40"/>
      <c r="R118" s="39"/>
      <c r="S118" s="40"/>
    </row>
    <row r="119" spans="1:20" ht="12.75" customHeight="1">
      <c r="A119" s="66">
        <v>5</v>
      </c>
      <c r="B119" s="288" t="s">
        <v>147</v>
      </c>
      <c r="C119" s="288"/>
      <c r="D119" s="288"/>
      <c r="E119" s="288"/>
      <c r="F119" s="288"/>
      <c r="G119" s="288"/>
      <c r="H119" s="148"/>
      <c r="I119" s="68" t="s">
        <v>79</v>
      </c>
      <c r="J119" s="148"/>
      <c r="K119" s="68" t="s">
        <v>79</v>
      </c>
      <c r="L119" s="148"/>
      <c r="M119" s="68" t="s">
        <v>79</v>
      </c>
      <c r="N119" s="148"/>
      <c r="O119" s="68" t="s">
        <v>79</v>
      </c>
      <c r="P119" s="148"/>
      <c r="Q119" s="68" t="s">
        <v>79</v>
      </c>
      <c r="R119" s="148"/>
      <c r="S119" s="68" t="s">
        <v>79</v>
      </c>
    </row>
    <row r="120" spans="1:20" ht="15" customHeight="1">
      <c r="A120" s="154" t="s">
        <v>58</v>
      </c>
      <c r="B120" s="295" t="s">
        <v>40</v>
      </c>
      <c r="C120" s="295"/>
      <c r="D120" s="295"/>
      <c r="E120" s="295"/>
      <c r="F120" s="295"/>
      <c r="G120" s="295"/>
      <c r="H120" s="149"/>
      <c r="I120" s="71">
        <f>SUM(I121:I123)</f>
        <v>41.03</v>
      </c>
      <c r="J120" s="149"/>
      <c r="K120" s="71">
        <f t="shared" ref="K120" si="170">SUM(K121:K123)</f>
        <v>53.41</v>
      </c>
      <c r="L120" s="149"/>
      <c r="M120" s="71">
        <f t="shared" ref="M120" si="171">SUM(M121:M123)</f>
        <v>43.24</v>
      </c>
      <c r="N120" s="149"/>
      <c r="O120" s="71">
        <f t="shared" ref="O120" si="172">SUM(O121:O123)</f>
        <v>44.52</v>
      </c>
      <c r="P120" s="149"/>
      <c r="Q120" s="71">
        <f t="shared" ref="Q120" si="173">SUM(Q121:Q123)</f>
        <v>47.49</v>
      </c>
      <c r="R120" s="149"/>
      <c r="S120" s="71">
        <f t="shared" ref="S120" si="174">SUM(S121:S123)</f>
        <v>53.41</v>
      </c>
      <c r="T120" s="153"/>
    </row>
    <row r="121" spans="1:20" ht="15" customHeight="1">
      <c r="A121" s="155" t="s">
        <v>219</v>
      </c>
      <c r="B121" s="286" t="s">
        <v>220</v>
      </c>
      <c r="C121" s="286"/>
      <c r="D121" s="286"/>
      <c r="E121" s="286"/>
      <c r="F121" s="286"/>
      <c r="G121" s="286"/>
      <c r="H121" s="149"/>
      <c r="I121" s="71">
        <f>'DADOS BÁSICOS 3º ANO'!$D$46</f>
        <v>35.61</v>
      </c>
      <c r="J121" s="149"/>
      <c r="K121" s="71">
        <f>'DADOS BÁSICOS 3º ANO'!$D$46</f>
        <v>35.61</v>
      </c>
      <c r="L121" s="149"/>
      <c r="M121" s="71">
        <f>'DADOS BÁSICOS 3º ANO'!$D$46</f>
        <v>35.61</v>
      </c>
      <c r="N121" s="149"/>
      <c r="O121" s="71">
        <f>'DADOS BÁSICOS 3º ANO'!$D$46</f>
        <v>35.61</v>
      </c>
      <c r="P121" s="149"/>
      <c r="Q121" s="71">
        <f>'DADOS BÁSICOS 3º ANO'!$D$46</f>
        <v>35.61</v>
      </c>
      <c r="R121" s="149"/>
      <c r="S121" s="71">
        <f>'DADOS BÁSICOS 3º ANO'!$D$46</f>
        <v>35.61</v>
      </c>
      <c r="T121" s="153"/>
    </row>
    <row r="122" spans="1:20" ht="15" customHeight="1">
      <c r="A122" s="158" t="s">
        <v>221</v>
      </c>
      <c r="B122" s="296" t="s">
        <v>223</v>
      </c>
      <c r="C122" s="296"/>
      <c r="D122" s="296"/>
      <c r="E122" s="296"/>
      <c r="F122" s="296"/>
      <c r="G122" s="296"/>
      <c r="H122" s="159">
        <f>(ROUNDUP(((H109*H11)/(365*0.6986)),0))/H11</f>
        <v>4.3499999999999997E-2</v>
      </c>
      <c r="I122" s="249">
        <f>'DADOS BÁSICOS 3º ANO'!$D$46*H122</f>
        <v>1.55</v>
      </c>
      <c r="J122" s="159">
        <f t="shared" ref="J122" si="175">(ROUNDUP(((J109*J11)/(365*0.6986)),0))/J11</f>
        <v>0.25</v>
      </c>
      <c r="K122" s="249">
        <f>'DADOS BÁSICOS 3º ANO'!$D$46*J122</f>
        <v>8.9</v>
      </c>
      <c r="L122" s="159">
        <f t="shared" ref="L122" si="176">(ROUNDUP(((L109*L11)/(365*0.6986)),0))/L11</f>
        <v>7.1400000000000005E-2</v>
      </c>
      <c r="M122" s="249">
        <f>'DADOS BÁSICOS 3º ANO'!$D$46*L122</f>
        <v>2.54</v>
      </c>
      <c r="N122" s="159">
        <f t="shared" ref="N122" si="177">(ROUNDUP(((N109*N11)/(365*0.6986)),0))/N11</f>
        <v>8.3299999999999999E-2</v>
      </c>
      <c r="O122" s="249">
        <f>'DADOS BÁSICOS 3º ANO'!$D$46*N122</f>
        <v>2.97</v>
      </c>
      <c r="P122" s="159">
        <f t="shared" ref="P122" si="178">(ROUNDUP(((P109*P11)/(365*0.6986)),0))/P11</f>
        <v>0.16669999999999999</v>
      </c>
      <c r="Q122" s="249">
        <f>'DADOS BÁSICOS 3º ANO'!$D$46*P122</f>
        <v>5.94</v>
      </c>
      <c r="R122" s="159">
        <f t="shared" ref="R122" si="179">(ROUNDUP(((R109*R11)/(365*0.6986)),0))/R11</f>
        <v>0.25</v>
      </c>
      <c r="S122" s="249">
        <f>'DADOS BÁSICOS 3º ANO'!$D$46*R122</f>
        <v>8.9</v>
      </c>
      <c r="T122" s="153"/>
    </row>
    <row r="123" spans="1:20" ht="15" customHeight="1">
      <c r="A123" s="108" t="s">
        <v>222</v>
      </c>
      <c r="B123" s="297" t="s">
        <v>209</v>
      </c>
      <c r="C123" s="297"/>
      <c r="D123" s="297"/>
      <c r="E123" s="297"/>
      <c r="F123" s="297"/>
      <c r="G123" s="297"/>
      <c r="H123" s="161">
        <f>((ROUNDUP((H11/11),0))/H11)</f>
        <v>0.1087</v>
      </c>
      <c r="I123" s="250">
        <f>'DADOS BÁSICOS 3º ANO'!$D$46*H123</f>
        <v>3.87</v>
      </c>
      <c r="J123" s="161">
        <f t="shared" ref="J123" si="180">((ROUNDUP((J11/11),0))/J11)</f>
        <v>0.25</v>
      </c>
      <c r="K123" s="250">
        <f>'DADOS BÁSICOS 3º ANO'!$D$46*J123</f>
        <v>8.9</v>
      </c>
      <c r="L123" s="161">
        <f t="shared" ref="L123" si="181">((ROUNDUP((L11/11),0))/L11)</f>
        <v>0.1429</v>
      </c>
      <c r="M123" s="250">
        <f>'DADOS BÁSICOS 3º ANO'!$D$46*L123</f>
        <v>5.09</v>
      </c>
      <c r="N123" s="161">
        <f t="shared" ref="N123" si="182">((ROUNDUP((N11/11),0))/N11)</f>
        <v>0.16669999999999999</v>
      </c>
      <c r="O123" s="250">
        <f>'DADOS BÁSICOS 3º ANO'!$D$46*N123</f>
        <v>5.94</v>
      </c>
      <c r="P123" s="161">
        <f t="shared" ref="P123" si="183">((ROUNDUP((P11/11),0))/P11)</f>
        <v>0.16669999999999999</v>
      </c>
      <c r="Q123" s="250">
        <f>'DADOS BÁSICOS 3º ANO'!$D$46*P123</f>
        <v>5.94</v>
      </c>
      <c r="R123" s="161">
        <f t="shared" ref="R123" si="184">((ROUNDUP((R11/11),0))/R11)</f>
        <v>0.25</v>
      </c>
      <c r="S123" s="250">
        <f>'DADOS BÁSICOS 3º ANO'!$D$46*R123</f>
        <v>8.9</v>
      </c>
      <c r="T123" s="153"/>
    </row>
    <row r="124" spans="1:20" ht="12.75" customHeight="1">
      <c r="A124" s="154" t="s">
        <v>60</v>
      </c>
      <c r="B124" s="295" t="s">
        <v>44</v>
      </c>
      <c r="C124" s="295"/>
      <c r="D124" s="295"/>
      <c r="E124" s="295"/>
      <c r="F124" s="295"/>
      <c r="G124" s="295"/>
      <c r="H124" s="149"/>
      <c r="I124" s="163">
        <f>'DADOS BÁSICOS 3º ANO'!$D$50/H10</f>
        <v>0</v>
      </c>
      <c r="J124" s="149"/>
      <c r="K124" s="163">
        <f>'DADOS BÁSICOS 3º ANO'!$D$50/J10</f>
        <v>0</v>
      </c>
      <c r="L124" s="149"/>
      <c r="M124" s="163">
        <f>'DADOS BÁSICOS 3º ANO'!$D$50/L10</f>
        <v>0</v>
      </c>
      <c r="N124" s="149"/>
      <c r="O124" s="163">
        <f>'DADOS BÁSICOS 3º ANO'!$D$50/N10</f>
        <v>0</v>
      </c>
      <c r="P124" s="149"/>
      <c r="Q124" s="163">
        <f>'DADOS BÁSICOS 3º ANO'!$D$50/P10</f>
        <v>0</v>
      </c>
      <c r="R124" s="149"/>
      <c r="S124" s="163">
        <f>'DADOS BÁSICOS 3º ANO'!$D$50/R10</f>
        <v>0</v>
      </c>
      <c r="T124" s="153"/>
    </row>
    <row r="125" spans="1:20" ht="16.5" customHeight="1">
      <c r="A125" s="154" t="s">
        <v>62</v>
      </c>
      <c r="B125" s="295" t="s">
        <v>47</v>
      </c>
      <c r="C125" s="295"/>
      <c r="D125" s="295"/>
      <c r="E125" s="295"/>
      <c r="F125" s="295"/>
      <c r="G125" s="295"/>
      <c r="H125" s="149"/>
      <c r="I125" s="163">
        <f>SUM(I126:I128)</f>
        <v>0.24</v>
      </c>
      <c r="J125" s="149"/>
      <c r="K125" s="163">
        <f t="shared" ref="K125" si="185">SUM(K126:K128)</f>
        <v>2.0699999999999998</v>
      </c>
      <c r="L125" s="149"/>
      <c r="M125" s="163">
        <f t="shared" ref="M125" si="186">SUM(M126:M128)</f>
        <v>0.79</v>
      </c>
      <c r="N125" s="149"/>
      <c r="O125" s="163">
        <f t="shared" ref="O125" si="187">SUM(O126:O128)</f>
        <v>0.9</v>
      </c>
      <c r="P125" s="149"/>
      <c r="Q125" s="163">
        <f t="shared" ref="Q125" si="188">SUM(Q126:Q128)</f>
        <v>1.64</v>
      </c>
      <c r="R125" s="149"/>
      <c r="S125" s="163">
        <f t="shared" ref="S125" si="189">SUM(S126:S128)</f>
        <v>2.0699999999999998</v>
      </c>
      <c r="T125" s="164"/>
    </row>
    <row r="126" spans="1:20" ht="12.75" customHeight="1">
      <c r="A126" s="69" t="s">
        <v>224</v>
      </c>
      <c r="B126" s="286" t="s">
        <v>226</v>
      </c>
      <c r="C126" s="286"/>
      <c r="D126" s="286"/>
      <c r="E126" s="286"/>
      <c r="F126" s="286"/>
      <c r="G126" s="286"/>
      <c r="H126" s="149"/>
      <c r="I126" s="163">
        <f>('DADOS BÁSICOS 3º ANO'!$G$54/'DADOS BÁSICOS 3º ANO'!$C$54)/(H$11+'TELEFONISTA 3º ANO'!$H$11)</f>
        <v>0.28999999999999998</v>
      </c>
      <c r="J126" s="149"/>
      <c r="K126" s="163">
        <f>('DADOS BÁSICOS 3º ANO'!$G$54/'DADOS BÁSICOS 3º ANO'!$C$54)/J$11</f>
        <v>3.45</v>
      </c>
      <c r="L126" s="149"/>
      <c r="M126" s="163">
        <f>('DADOS BÁSICOS 3º ANO'!$G$54/'DADOS BÁSICOS 3º ANO'!$C$54)/L$11</f>
        <v>0.99</v>
      </c>
      <c r="N126" s="149"/>
      <c r="O126" s="163">
        <f>('DADOS BÁSICOS 3º ANO'!$G$54/'DADOS BÁSICOS 3º ANO'!$C$54)/N$11</f>
        <v>1.1499999999999999</v>
      </c>
      <c r="P126" s="149"/>
      <c r="Q126" s="163">
        <f>('DADOS BÁSICOS 3º ANO'!$G$54/'DADOS BÁSICOS 3º ANO'!$C$54)/P$11</f>
        <v>2.2999999999999998</v>
      </c>
      <c r="R126" s="149"/>
      <c r="S126" s="163">
        <f>('DADOS BÁSICOS 3º ANO'!$G$54/'DADOS BÁSICOS 3º ANO'!$C$54)/R$11</f>
        <v>3.45</v>
      </c>
      <c r="T126" s="164"/>
    </row>
    <row r="127" spans="1:20" ht="12.75" customHeight="1">
      <c r="A127" s="158" t="s">
        <v>225</v>
      </c>
      <c r="B127" s="296" t="s">
        <v>227</v>
      </c>
      <c r="C127" s="296"/>
      <c r="D127" s="296"/>
      <c r="E127" s="296"/>
      <c r="F127" s="296"/>
      <c r="G127" s="296"/>
      <c r="H127" s="159"/>
      <c r="I127" s="165">
        <f>(('DADOS BÁSICOS LICITAÇÃO'!$G$54/'DADOS BÁSICOS LICITAÇÃO'!$C$54)/(H$11+'TELEFONISTA 3º ANO'!$H$11+(ROUNDUP(((H109*H11)/(365*0.6986)),0)+(ROUNDUP((('TELEFONISTA 3º ANO'!H109*'TELEFONISTA 3º ANO'!H11)/(365*0.6986)),0))))-I126)</f>
        <v>-0.02</v>
      </c>
      <c r="J127" s="159"/>
      <c r="K127" s="165">
        <f>(('DADOS BÁSICOS LICITAÇÃO'!$G$54/'DADOS BÁSICOS LICITAÇÃO'!$C$54)/(J$11+(ROUNDUP(((J109*J11)/(365*0.6986)),0))))-K126</f>
        <v>-0.69</v>
      </c>
      <c r="L127" s="159"/>
      <c r="M127" s="165">
        <f>(('DADOS BÁSICOS LICITAÇÃO'!$G$54/'DADOS BÁSICOS LICITAÇÃO'!$C$54)/(L$11+(ROUNDUP(((L109*L11)/(365*0.6986)),0))))-M126</f>
        <v>-7.0000000000000007E-2</v>
      </c>
      <c r="N127" s="159"/>
      <c r="O127" s="165">
        <f>(('DADOS BÁSICOS LICITAÇÃO'!$G$54/'DADOS BÁSICOS LICITAÇÃO'!$C$54)/(N$11+(ROUNDUP(((N109*N11)/(365*0.6986)),0))))-O126</f>
        <v>-0.09</v>
      </c>
      <c r="P127" s="159"/>
      <c r="Q127" s="165">
        <f>(('DADOS BÁSICOS LICITAÇÃO'!$G$54/'DADOS BÁSICOS LICITAÇÃO'!$C$54)/(P$11+(ROUNDUP(((P109*P11)/(365*0.6986)),0))))-Q126</f>
        <v>-0.33</v>
      </c>
      <c r="R127" s="159"/>
      <c r="S127" s="165">
        <f>(('DADOS BÁSICOS LICITAÇÃO'!$G$54/'DADOS BÁSICOS LICITAÇÃO'!$C$54)/(R$11+(ROUNDUP(((R109*R11)/(365*0.6986)),0))))-S126</f>
        <v>-0.69</v>
      </c>
      <c r="T127" s="164"/>
    </row>
    <row r="128" spans="1:20" ht="12.75" customHeight="1">
      <c r="A128" s="108" t="s">
        <v>225</v>
      </c>
      <c r="B128" s="297" t="s">
        <v>210</v>
      </c>
      <c r="C128" s="297"/>
      <c r="D128" s="297"/>
      <c r="E128" s="297"/>
      <c r="F128" s="297"/>
      <c r="G128" s="297"/>
      <c r="H128" s="161"/>
      <c r="I128" s="251">
        <f>(('DADOS BÁSICOS 3º ANO'!$G$54/'DADOS BÁSICOS 3º ANO'!$C$54)/(H$11+'TELEFONISTA 3º ANO'!$H$11+ROUNDUP((H11/11),0)+ROUNDUP(('TELEFONISTA 3º ANO'!H11/11),0)))-I126</f>
        <v>-0.03</v>
      </c>
      <c r="J128" s="161"/>
      <c r="K128" s="251">
        <f>(('DADOS BÁSICOS 3º ANO'!$G$54/'DADOS BÁSICOS 3º ANO'!$C$54)/(J$11+ROUNDUP((J11/11),0)))-K126</f>
        <v>-0.69</v>
      </c>
      <c r="L128" s="161"/>
      <c r="M128" s="251">
        <f>(('DADOS BÁSICOS 3º ANO'!$G$54/'DADOS BÁSICOS 3º ANO'!$C$54)/(L$11+ROUNDUP((L11/11),0)))-M126</f>
        <v>-0.13</v>
      </c>
      <c r="N128" s="161"/>
      <c r="O128" s="251">
        <f>(('DADOS BÁSICOS 3º ANO'!$G$54/'DADOS BÁSICOS 3º ANO'!$C$54)/(N$11+ROUNDUP((N11/11),0)))-O126</f>
        <v>-0.16</v>
      </c>
      <c r="P128" s="161"/>
      <c r="Q128" s="251">
        <f>(('DADOS BÁSICOS 3º ANO'!$G$54/'DADOS BÁSICOS 3º ANO'!$C$54)/(P$11+ROUNDUP((P11/11),0)))-Q126</f>
        <v>-0.33</v>
      </c>
      <c r="R128" s="161"/>
      <c r="S128" s="251">
        <f>(('DADOS BÁSICOS 3º ANO'!$G$54/'DADOS BÁSICOS 3º ANO'!$C$54)/(R$11+ROUNDUP((R11/11),0)))-S126</f>
        <v>-0.69</v>
      </c>
      <c r="T128" s="164"/>
    </row>
    <row r="129" spans="1:19">
      <c r="A129" s="287" t="s">
        <v>85</v>
      </c>
      <c r="B129" s="287"/>
      <c r="C129" s="287"/>
      <c r="D129" s="287"/>
      <c r="E129" s="287"/>
      <c r="F129" s="287"/>
      <c r="G129" s="287"/>
      <c r="H129" s="113"/>
      <c r="I129" s="167">
        <f>I120+I124+I125</f>
        <v>41.27</v>
      </c>
      <c r="J129" s="113"/>
      <c r="K129" s="167">
        <f>K120+K124+K125</f>
        <v>55.48</v>
      </c>
      <c r="L129" s="113"/>
      <c r="M129" s="167">
        <f>M120+M124+M125</f>
        <v>44.03</v>
      </c>
      <c r="N129" s="113"/>
      <c r="O129" s="167">
        <f>O120+O124+O125</f>
        <v>45.42</v>
      </c>
      <c r="P129" s="113"/>
      <c r="Q129" s="167">
        <f>Q120+Q124+Q125</f>
        <v>49.13</v>
      </c>
      <c r="R129" s="113"/>
      <c r="S129" s="167">
        <f>S120+S124+S125</f>
        <v>55.48</v>
      </c>
    </row>
    <row r="130" spans="1:19" ht="14.25" customHeight="1">
      <c r="A130" s="289" t="s">
        <v>148</v>
      </c>
      <c r="B130" s="289"/>
      <c r="C130" s="289"/>
      <c r="D130" s="289"/>
      <c r="E130" s="289"/>
      <c r="F130" s="289"/>
      <c r="G130" s="289"/>
      <c r="H130" s="132" t="s">
        <v>93</v>
      </c>
      <c r="I130" s="168">
        <f>I29</f>
        <v>1806.53</v>
      </c>
      <c r="J130" s="132" t="s">
        <v>93</v>
      </c>
      <c r="K130" s="168">
        <f>K29</f>
        <v>1806.53</v>
      </c>
      <c r="L130" s="132" t="s">
        <v>93</v>
      </c>
      <c r="M130" s="168">
        <f>M29</f>
        <v>1806.53</v>
      </c>
      <c r="N130" s="132" t="s">
        <v>93</v>
      </c>
      <c r="O130" s="168">
        <f>O29</f>
        <v>1806.53</v>
      </c>
      <c r="P130" s="132" t="s">
        <v>93</v>
      </c>
      <c r="Q130" s="168">
        <f>Q29</f>
        <v>1806.53</v>
      </c>
      <c r="R130" s="132" t="s">
        <v>93</v>
      </c>
      <c r="S130" s="168">
        <f>S29</f>
        <v>1806.53</v>
      </c>
    </row>
    <row r="131" spans="1:19">
      <c r="A131" s="289"/>
      <c r="B131" s="289"/>
      <c r="C131" s="289"/>
      <c r="D131" s="289"/>
      <c r="E131" s="289"/>
      <c r="F131" s="289"/>
      <c r="G131" s="289"/>
      <c r="H131" s="132" t="s">
        <v>94</v>
      </c>
      <c r="I131" s="168">
        <f>I80</f>
        <v>1834.12</v>
      </c>
      <c r="J131" s="132" t="s">
        <v>94</v>
      </c>
      <c r="K131" s="168">
        <f>K80</f>
        <v>1785.72</v>
      </c>
      <c r="L131" s="132" t="s">
        <v>94</v>
      </c>
      <c r="M131" s="168">
        <f>M80</f>
        <v>1823.12</v>
      </c>
      <c r="N131" s="132" t="s">
        <v>94</v>
      </c>
      <c r="O131" s="168">
        <f>O80</f>
        <v>1825.32</v>
      </c>
      <c r="P131" s="132" t="s">
        <v>94</v>
      </c>
      <c r="Q131" s="168">
        <f>Q80</f>
        <v>1798.92</v>
      </c>
      <c r="R131" s="132" t="s">
        <v>94</v>
      </c>
      <c r="S131" s="168">
        <f>S80</f>
        <v>1825.32</v>
      </c>
    </row>
    <row r="132" spans="1:19">
      <c r="A132" s="289"/>
      <c r="B132" s="289"/>
      <c r="C132" s="289"/>
      <c r="D132" s="289"/>
      <c r="E132" s="289"/>
      <c r="F132" s="289"/>
      <c r="G132" s="289"/>
      <c r="H132" s="132" t="s">
        <v>95</v>
      </c>
      <c r="I132" s="168">
        <f>I89</f>
        <v>60.12</v>
      </c>
      <c r="J132" s="132" t="s">
        <v>95</v>
      </c>
      <c r="K132" s="168">
        <f>K89</f>
        <v>60.12</v>
      </c>
      <c r="L132" s="132" t="s">
        <v>95</v>
      </c>
      <c r="M132" s="168">
        <f>M89</f>
        <v>60.12</v>
      </c>
      <c r="N132" s="132" t="s">
        <v>95</v>
      </c>
      <c r="O132" s="168">
        <f>O89</f>
        <v>60.12</v>
      </c>
      <c r="P132" s="132" t="s">
        <v>95</v>
      </c>
      <c r="Q132" s="168">
        <f>Q89</f>
        <v>60.12</v>
      </c>
      <c r="R132" s="132" t="s">
        <v>95</v>
      </c>
      <c r="S132" s="168">
        <f>S89</f>
        <v>60.12</v>
      </c>
    </row>
    <row r="133" spans="1:19">
      <c r="A133" s="289"/>
      <c r="B133" s="289"/>
      <c r="C133" s="289"/>
      <c r="D133" s="289"/>
      <c r="E133" s="289"/>
      <c r="F133" s="289"/>
      <c r="G133" s="289"/>
      <c r="H133" s="132" t="s">
        <v>96</v>
      </c>
      <c r="I133" s="168">
        <f>I117</f>
        <v>87.55</v>
      </c>
      <c r="J133" s="132" t="s">
        <v>96</v>
      </c>
      <c r="K133" s="168">
        <f>K117</f>
        <v>86.41</v>
      </c>
      <c r="L133" s="132" t="s">
        <v>96</v>
      </c>
      <c r="M133" s="168">
        <f>M117</f>
        <v>87.29</v>
      </c>
      <c r="N133" s="132" t="s">
        <v>96</v>
      </c>
      <c r="O133" s="168">
        <f>O117</f>
        <v>87.35</v>
      </c>
      <c r="P133" s="132" t="s">
        <v>96</v>
      </c>
      <c r="Q133" s="168">
        <f>Q117</f>
        <v>86.71</v>
      </c>
      <c r="R133" s="132" t="s">
        <v>96</v>
      </c>
      <c r="S133" s="168">
        <f>S117</f>
        <v>87.35</v>
      </c>
    </row>
    <row r="134" spans="1:19">
      <c r="A134" s="289"/>
      <c r="B134" s="289"/>
      <c r="C134" s="289"/>
      <c r="D134" s="289"/>
      <c r="E134" s="289"/>
      <c r="F134" s="289"/>
      <c r="G134" s="289"/>
      <c r="H134" s="132" t="s">
        <v>97</v>
      </c>
      <c r="I134" s="82">
        <f>I129</f>
        <v>41.27</v>
      </c>
      <c r="J134" s="132" t="s">
        <v>97</v>
      </c>
      <c r="K134" s="82">
        <f>K129</f>
        <v>55.48</v>
      </c>
      <c r="L134" s="132" t="s">
        <v>97</v>
      </c>
      <c r="M134" s="82">
        <f>M129</f>
        <v>44.03</v>
      </c>
      <c r="N134" s="132" t="s">
        <v>97</v>
      </c>
      <c r="O134" s="82">
        <f>O129</f>
        <v>45.42</v>
      </c>
      <c r="P134" s="132" t="s">
        <v>97</v>
      </c>
      <c r="Q134" s="82">
        <f>Q129</f>
        <v>49.13</v>
      </c>
      <c r="R134" s="132" t="s">
        <v>97</v>
      </c>
      <c r="S134" s="82">
        <f>S129</f>
        <v>55.48</v>
      </c>
    </row>
    <row r="135" spans="1:19">
      <c r="A135" s="289"/>
      <c r="B135" s="289"/>
      <c r="C135" s="289"/>
      <c r="D135" s="289"/>
      <c r="E135" s="289"/>
      <c r="F135" s="289"/>
      <c r="G135" s="289"/>
      <c r="H135" s="132" t="s">
        <v>85</v>
      </c>
      <c r="I135" s="82">
        <f>SUM(I130:I134)</f>
        <v>3829.59</v>
      </c>
      <c r="J135" s="132" t="s">
        <v>85</v>
      </c>
      <c r="K135" s="82">
        <f>SUM(K130:K134)</f>
        <v>3794.26</v>
      </c>
      <c r="L135" s="132" t="s">
        <v>85</v>
      </c>
      <c r="M135" s="82">
        <f>SUM(M130:M134)</f>
        <v>3821.09</v>
      </c>
      <c r="N135" s="132" t="s">
        <v>85</v>
      </c>
      <c r="O135" s="82">
        <f>SUM(O130:O134)</f>
        <v>3824.74</v>
      </c>
      <c r="P135" s="132" t="s">
        <v>85</v>
      </c>
      <c r="Q135" s="82">
        <f>SUM(Q130:Q134)</f>
        <v>3801.41</v>
      </c>
      <c r="R135" s="132" t="s">
        <v>85</v>
      </c>
      <c r="S135" s="82">
        <f>SUM(S130:S134)</f>
        <v>3834.8</v>
      </c>
    </row>
    <row r="136" spans="1:19" ht="24" customHeight="1">
      <c r="A136" s="88" t="s">
        <v>149</v>
      </c>
      <c r="B136" s="88"/>
      <c r="C136" s="88"/>
      <c r="D136" s="88"/>
      <c r="E136" s="88"/>
      <c r="F136" s="88"/>
      <c r="G136" s="88"/>
      <c r="H136" s="89"/>
      <c r="I136" s="90"/>
      <c r="J136" s="89"/>
      <c r="K136" s="90"/>
      <c r="L136" s="89"/>
      <c r="M136" s="90"/>
      <c r="N136" s="89"/>
      <c r="O136" s="90"/>
      <c r="P136" s="89"/>
      <c r="Q136" s="90"/>
      <c r="R136" s="89"/>
      <c r="S136" s="90"/>
    </row>
    <row r="137" spans="1:19">
      <c r="A137" s="66">
        <v>6</v>
      </c>
      <c r="B137" s="290" t="s">
        <v>150</v>
      </c>
      <c r="C137" s="290"/>
      <c r="D137" s="290"/>
      <c r="E137" s="290"/>
      <c r="F137" s="290"/>
      <c r="G137" s="290"/>
      <c r="H137" s="67" t="s">
        <v>78</v>
      </c>
      <c r="I137" s="68" t="s">
        <v>79</v>
      </c>
      <c r="J137" s="67" t="s">
        <v>78</v>
      </c>
      <c r="K137" s="68" t="s">
        <v>79</v>
      </c>
      <c r="L137" s="67" t="s">
        <v>78</v>
      </c>
      <c r="M137" s="68" t="s">
        <v>79</v>
      </c>
      <c r="N137" s="67" t="s">
        <v>78</v>
      </c>
      <c r="O137" s="68" t="s">
        <v>79</v>
      </c>
      <c r="P137" s="67" t="s">
        <v>78</v>
      </c>
      <c r="Q137" s="68" t="s">
        <v>79</v>
      </c>
      <c r="R137" s="67" t="s">
        <v>78</v>
      </c>
      <c r="S137" s="68" t="s">
        <v>79</v>
      </c>
    </row>
    <row r="138" spans="1:19">
      <c r="A138" s="69" t="s">
        <v>58</v>
      </c>
      <c r="B138" s="291" t="s">
        <v>151</v>
      </c>
      <c r="C138" s="292"/>
      <c r="D138" s="292"/>
      <c r="E138" s="292"/>
      <c r="F138" s="292"/>
      <c r="G138" s="293"/>
      <c r="H138" s="124">
        <f>'DADOS BÁSICOS 3º ANO'!$S8</f>
        <v>0.05</v>
      </c>
      <c r="I138" s="71">
        <f>(H138*I135)</f>
        <v>191.48</v>
      </c>
      <c r="J138" s="124">
        <f>'DADOS BÁSICOS 3º ANO'!$S9</f>
        <v>0.05</v>
      </c>
      <c r="K138" s="71">
        <f>(J138*K135)</f>
        <v>189.71</v>
      </c>
      <c r="L138" s="124">
        <f>'DADOS BÁSICOS 3º ANO'!$S10</f>
        <v>0.05</v>
      </c>
      <c r="M138" s="71">
        <f>(L138*M135)</f>
        <v>191.05</v>
      </c>
      <c r="N138" s="124">
        <f>'DADOS BÁSICOS 3º ANO'!$S11</f>
        <v>0.05</v>
      </c>
      <c r="O138" s="71">
        <f>(N138*O135)</f>
        <v>191.24</v>
      </c>
      <c r="P138" s="124">
        <f>'DADOS BÁSICOS 3º ANO'!$S12</f>
        <v>0.05</v>
      </c>
      <c r="Q138" s="71">
        <f>(P138*Q135)</f>
        <v>190.07</v>
      </c>
      <c r="R138" s="124">
        <f>'DADOS BÁSICOS 3º ANO'!$S13</f>
        <v>0.05</v>
      </c>
      <c r="S138" s="71">
        <f>(R138*S135)</f>
        <v>191.74</v>
      </c>
    </row>
    <row r="139" spans="1:19">
      <c r="A139" s="69" t="s">
        <v>60</v>
      </c>
      <c r="B139" s="291" t="s">
        <v>152</v>
      </c>
      <c r="C139" s="292"/>
      <c r="D139" s="292"/>
      <c r="E139" s="292"/>
      <c r="F139" s="292"/>
      <c r="G139" s="293"/>
      <c r="H139" s="124">
        <f>'DADOS BÁSICOS 3º ANO'!$T8</f>
        <v>0.05</v>
      </c>
      <c r="I139" s="71">
        <f>H139*(I135+I138)</f>
        <v>201.05</v>
      </c>
      <c r="J139" s="124">
        <f>'DADOS BÁSICOS 3º ANO'!$T9</f>
        <v>0.05</v>
      </c>
      <c r="K139" s="71">
        <f>J139*(K135+K138)</f>
        <v>199.2</v>
      </c>
      <c r="L139" s="124">
        <f>'DADOS BÁSICOS 3º ANO'!$T10</f>
        <v>0.05</v>
      </c>
      <c r="M139" s="71">
        <f>L139*(M135+M138)</f>
        <v>200.61</v>
      </c>
      <c r="N139" s="124">
        <f>'DADOS BÁSICOS 3º ANO'!$T11</f>
        <v>0.05</v>
      </c>
      <c r="O139" s="71">
        <f>N139*(O135+O138)</f>
        <v>200.8</v>
      </c>
      <c r="P139" s="124">
        <f>'DADOS BÁSICOS 3º ANO'!$T12</f>
        <v>0.05</v>
      </c>
      <c r="Q139" s="71">
        <f>P139*(Q135+Q138)</f>
        <v>199.57</v>
      </c>
      <c r="R139" s="124">
        <f>'DADOS BÁSICOS 3º ANO'!$T13</f>
        <v>0.05</v>
      </c>
      <c r="S139" s="71">
        <f>R139*(S135+S138)</f>
        <v>201.33</v>
      </c>
    </row>
    <row r="140" spans="1:19">
      <c r="A140" s="69" t="s">
        <v>62</v>
      </c>
      <c r="B140" s="294" t="s">
        <v>153</v>
      </c>
      <c r="C140" s="294"/>
      <c r="D140" s="294"/>
      <c r="E140" s="294"/>
      <c r="F140" s="294"/>
      <c r="G140" s="294"/>
      <c r="H140" s="169">
        <f>SUM(H141+H142+H143)</f>
        <v>8.6499999999999994E-2</v>
      </c>
      <c r="I140" s="170">
        <f>SUM(I141:I143)</f>
        <v>399.8</v>
      </c>
      <c r="J140" s="169">
        <f>SUM(J141+J142+J143)</f>
        <v>8.6499999999999994E-2</v>
      </c>
      <c r="K140" s="170">
        <f>SUM(K141:K143)</f>
        <v>396.11</v>
      </c>
      <c r="L140" s="169">
        <f>SUM(L141+L142+L143)</f>
        <v>7.6499999999999999E-2</v>
      </c>
      <c r="M140" s="170">
        <f>SUM(M141:M143)</f>
        <v>348.97</v>
      </c>
      <c r="N140" s="169">
        <f>SUM(N141+N142+N143)</f>
        <v>6.6500000000000004E-2</v>
      </c>
      <c r="O140" s="170">
        <f>SUM(O141:O143)</f>
        <v>300.39999999999998</v>
      </c>
      <c r="P140" s="169">
        <f>SUM(P141+P142+P143)</f>
        <v>7.6499999999999999E-2</v>
      </c>
      <c r="Q140" s="170">
        <f>SUM(Q141:Q143)</f>
        <v>347.18</v>
      </c>
      <c r="R140" s="169">
        <f>SUM(R141+R142+R143)</f>
        <v>8.6499999999999994E-2</v>
      </c>
      <c r="S140" s="170">
        <f>SUM(S141:S143)</f>
        <v>400.34</v>
      </c>
    </row>
    <row r="141" spans="1:19" ht="12.75" customHeight="1">
      <c r="A141" s="154"/>
      <c r="B141" s="286" t="s">
        <v>154</v>
      </c>
      <c r="C141" s="286"/>
      <c r="D141" s="286"/>
      <c r="E141" s="286"/>
      <c r="F141" s="286"/>
      <c r="G141" s="286"/>
      <c r="H141" s="127">
        <f>IF('DADOS BÁSICOS 3º ANO'!$B$25="LUCRO PRESUMIDO",'DADOS BÁSICOS 3º ANO'!$B$28,'DADOS BÁSICOS 3º ANO'!$C$28)</f>
        <v>0.03</v>
      </c>
      <c r="I141" s="71">
        <f>SUM(H141*I154)</f>
        <v>138.66</v>
      </c>
      <c r="J141" s="127">
        <f>IF('DADOS BÁSICOS 3º ANO'!$B$25="LUCRO PRESUMIDO",'DADOS BÁSICOS 3º ANO'!$B$28,'DADOS BÁSICOS 3º ANO'!$C$28)</f>
        <v>0.03</v>
      </c>
      <c r="K141" s="71">
        <f>SUM(J141*K154)</f>
        <v>137.38</v>
      </c>
      <c r="L141" s="127">
        <f>IF('DADOS BÁSICOS 3º ANO'!$B$25="LUCRO PRESUMIDO",'DADOS BÁSICOS 3º ANO'!$B$28,'DADOS BÁSICOS 3º ANO'!$C$28)</f>
        <v>0.03</v>
      </c>
      <c r="M141" s="71">
        <f>SUM(L141*M154)</f>
        <v>136.85</v>
      </c>
      <c r="N141" s="127">
        <f>IF('DADOS BÁSICOS 3º ANO'!$B$25="LUCRO PRESUMIDO",'DADOS BÁSICOS 3º ANO'!$B$28,'DADOS BÁSICOS 3º ANO'!$C$28)</f>
        <v>0.03</v>
      </c>
      <c r="O141" s="71">
        <f>SUM(N141*O154)</f>
        <v>135.52000000000001</v>
      </c>
      <c r="P141" s="127">
        <f>IF('DADOS BÁSICOS 3º ANO'!$B$25="LUCRO PRESUMIDO",'DADOS BÁSICOS 3º ANO'!$B$28,'DADOS BÁSICOS 3º ANO'!$C$28)</f>
        <v>0.03</v>
      </c>
      <c r="Q141" s="71">
        <f>SUM(P141*Q154)</f>
        <v>136.15</v>
      </c>
      <c r="R141" s="127">
        <f>IF('DADOS BÁSICOS 3º ANO'!$B$25="LUCRO PRESUMIDO",'DADOS BÁSICOS 3º ANO'!$B$28,'DADOS BÁSICOS 3º ANO'!$C$28)</f>
        <v>0.03</v>
      </c>
      <c r="S141" s="71">
        <f>SUM(R141*S154)</f>
        <v>138.85</v>
      </c>
    </row>
    <row r="142" spans="1:19" ht="12.75" customHeight="1">
      <c r="A142" s="154"/>
      <c r="B142" s="286" t="s">
        <v>155</v>
      </c>
      <c r="C142" s="286"/>
      <c r="D142" s="286"/>
      <c r="E142" s="286"/>
      <c r="F142" s="286"/>
      <c r="G142" s="286"/>
      <c r="H142" s="127">
        <f>IF('DADOS BÁSICOS 3º ANO'!$B$25="LUCRO PRESUMIDO",'DADOS BÁSICOS 3º ANO'!$B$27,'DADOS BÁSICOS 3º ANO'!$C$27)</f>
        <v>6.4999999999999997E-3</v>
      </c>
      <c r="I142" s="71">
        <f>SUM(H142*I154)</f>
        <v>30.04</v>
      </c>
      <c r="J142" s="127">
        <f>IF('DADOS BÁSICOS 3º ANO'!$B$25="LUCRO PRESUMIDO",'DADOS BÁSICOS 3º ANO'!$B$27,'DADOS BÁSICOS 3º ANO'!$C$27)</f>
        <v>6.4999999999999997E-3</v>
      </c>
      <c r="K142" s="71">
        <f>SUM(J142*K154)</f>
        <v>29.77</v>
      </c>
      <c r="L142" s="127">
        <f>IF('DADOS BÁSICOS 3º ANO'!$B$25="LUCRO PRESUMIDO",'DADOS BÁSICOS 3º ANO'!$B$27,'DADOS BÁSICOS 3º ANO'!$C$27)</f>
        <v>6.4999999999999997E-3</v>
      </c>
      <c r="M142" s="71">
        <f>SUM(L142*M154)</f>
        <v>29.65</v>
      </c>
      <c r="N142" s="127">
        <f>IF('DADOS BÁSICOS 3º ANO'!$B$25="LUCRO PRESUMIDO",'DADOS BÁSICOS 3º ANO'!$B$27,'DADOS BÁSICOS 3º ANO'!$C$27)</f>
        <v>6.4999999999999997E-3</v>
      </c>
      <c r="O142" s="71">
        <f>SUM(N142*O154)</f>
        <v>29.36</v>
      </c>
      <c r="P142" s="127">
        <f>IF('DADOS BÁSICOS 3º ANO'!$B$25="LUCRO PRESUMIDO",'DADOS BÁSICOS 3º ANO'!$B$27,'DADOS BÁSICOS 3º ANO'!$C$27)</f>
        <v>6.4999999999999997E-3</v>
      </c>
      <c r="Q142" s="71">
        <f>SUM(P142*Q154)</f>
        <v>29.5</v>
      </c>
      <c r="R142" s="127">
        <f>IF('DADOS BÁSICOS 3º ANO'!$B$25="LUCRO PRESUMIDO",'DADOS BÁSICOS 3º ANO'!$B$27,'DADOS BÁSICOS 3º ANO'!$C$27)</f>
        <v>6.4999999999999997E-3</v>
      </c>
      <c r="S142" s="71">
        <f>SUM(R142*S154)</f>
        <v>30.08</v>
      </c>
    </row>
    <row r="143" spans="1:19" ht="12.75" customHeight="1">
      <c r="A143" s="154"/>
      <c r="B143" s="286" t="s">
        <v>156</v>
      </c>
      <c r="C143" s="286"/>
      <c r="D143" s="286"/>
      <c r="E143" s="286"/>
      <c r="F143" s="286"/>
      <c r="G143" s="286"/>
      <c r="H143" s="127">
        <f>'DADOS BÁSICOS 3º ANO'!U8</f>
        <v>0.05</v>
      </c>
      <c r="I143" s="71">
        <f>SUM(H143*I154)</f>
        <v>231.1</v>
      </c>
      <c r="J143" s="127">
        <f>'DADOS BÁSICOS 3º ANO'!U9</f>
        <v>0.05</v>
      </c>
      <c r="K143" s="71">
        <f>SUM(J143*K154)</f>
        <v>228.96</v>
      </c>
      <c r="L143" s="127">
        <f>'DADOS BÁSICOS 3º ANO'!U10</f>
        <v>0.04</v>
      </c>
      <c r="M143" s="71">
        <f>SUM(L143*M154)</f>
        <v>182.47</v>
      </c>
      <c r="N143" s="127">
        <f>'DADOS BÁSICOS 3º ANO'!U11</f>
        <v>0.03</v>
      </c>
      <c r="O143" s="71">
        <f>SUM(N143*O154)</f>
        <v>135.52000000000001</v>
      </c>
      <c r="P143" s="127">
        <f>'DADOS BÁSICOS 3º ANO'!U12</f>
        <v>0.04</v>
      </c>
      <c r="Q143" s="71">
        <f>SUM(P143*Q154)</f>
        <v>181.53</v>
      </c>
      <c r="R143" s="127">
        <f>'DADOS BÁSICOS 3º ANO'!U13</f>
        <v>0.05</v>
      </c>
      <c r="S143" s="71">
        <f>SUM(R143*S154)</f>
        <v>231.41</v>
      </c>
    </row>
    <row r="144" spans="1:19">
      <c r="A144" s="287" t="s">
        <v>85</v>
      </c>
      <c r="B144" s="287"/>
      <c r="C144" s="287"/>
      <c r="D144" s="287"/>
      <c r="E144" s="287"/>
      <c r="F144" s="287"/>
      <c r="G144" s="287"/>
      <c r="H144" s="171"/>
      <c r="I144" s="80">
        <f>SUM(I138+I139+I141+I142+I143)</f>
        <v>792.33</v>
      </c>
      <c r="J144" s="171"/>
      <c r="K144" s="80">
        <f>SUM(K138+K139+K141+K142+K143)</f>
        <v>785.02</v>
      </c>
      <c r="L144" s="171"/>
      <c r="M144" s="80">
        <f>SUM(M138+M139+M141+M142+M143)</f>
        <v>740.63</v>
      </c>
      <c r="N144" s="171"/>
      <c r="O144" s="80">
        <f>SUM(O138+O139+O141+O142+O143)</f>
        <v>692.44</v>
      </c>
      <c r="P144" s="171"/>
      <c r="Q144" s="80">
        <f>SUM(Q138+Q139+Q141+Q142+Q143)</f>
        <v>736.82</v>
      </c>
      <c r="R144" s="171"/>
      <c r="S144" s="80">
        <f>SUM(S138+S139+S141+S142+S143)</f>
        <v>793.41</v>
      </c>
    </row>
    <row r="145" spans="1:19" ht="19.5" customHeight="1">
      <c r="A145" s="172" t="s">
        <v>157</v>
      </c>
      <c r="B145" s="173"/>
      <c r="C145" s="173"/>
      <c r="D145" s="173"/>
      <c r="E145" s="173"/>
      <c r="F145" s="173"/>
      <c r="G145" s="173"/>
      <c r="H145" s="174"/>
      <c r="I145" s="175"/>
      <c r="J145" s="174"/>
      <c r="K145" s="175"/>
      <c r="L145" s="174"/>
      <c r="M145" s="175"/>
      <c r="N145" s="174"/>
      <c r="O145" s="175"/>
      <c r="P145" s="174"/>
      <c r="Q145" s="175"/>
      <c r="R145" s="174"/>
      <c r="S145" s="175"/>
    </row>
    <row r="146" spans="1:19" ht="12.75" customHeight="1">
      <c r="A146" s="288" t="s">
        <v>158</v>
      </c>
      <c r="B146" s="288"/>
      <c r="C146" s="288"/>
      <c r="D146" s="288"/>
      <c r="E146" s="288"/>
      <c r="F146" s="288"/>
      <c r="G146" s="288"/>
      <c r="H146" s="148"/>
      <c r="I146" s="84" t="s">
        <v>79</v>
      </c>
      <c r="J146" s="148"/>
      <c r="K146" s="84" t="s">
        <v>79</v>
      </c>
      <c r="L146" s="148"/>
      <c r="M146" s="84" t="s">
        <v>79</v>
      </c>
      <c r="N146" s="148"/>
      <c r="O146" s="84" t="s">
        <v>79</v>
      </c>
      <c r="P146" s="148"/>
      <c r="Q146" s="84" t="s">
        <v>79</v>
      </c>
      <c r="R146" s="148"/>
      <c r="S146" s="84" t="s">
        <v>79</v>
      </c>
    </row>
    <row r="147" spans="1:19" ht="12.75" customHeight="1">
      <c r="A147" s="176" t="s">
        <v>58</v>
      </c>
      <c r="B147" s="284" t="s">
        <v>159</v>
      </c>
      <c r="C147" s="284"/>
      <c r="D147" s="284"/>
      <c r="E147" s="284"/>
      <c r="F147" s="284"/>
      <c r="G147" s="284"/>
      <c r="H147" s="48"/>
      <c r="I147" s="177">
        <f>I29</f>
        <v>1806.53</v>
      </c>
      <c r="J147" s="48"/>
      <c r="K147" s="177">
        <f>K29</f>
        <v>1806.53</v>
      </c>
      <c r="L147" s="48"/>
      <c r="M147" s="177">
        <f>M29</f>
        <v>1806.53</v>
      </c>
      <c r="N147" s="48"/>
      <c r="O147" s="177">
        <f>O29</f>
        <v>1806.53</v>
      </c>
      <c r="P147" s="48"/>
      <c r="Q147" s="177">
        <f>Q29</f>
        <v>1806.53</v>
      </c>
      <c r="R147" s="48"/>
      <c r="S147" s="177">
        <f>S29</f>
        <v>1806.53</v>
      </c>
    </row>
    <row r="148" spans="1:19" ht="12.75" customHeight="1">
      <c r="A148" s="176" t="s">
        <v>60</v>
      </c>
      <c r="B148" s="284" t="s">
        <v>121</v>
      </c>
      <c r="C148" s="284"/>
      <c r="D148" s="284"/>
      <c r="E148" s="284"/>
      <c r="F148" s="284"/>
      <c r="G148" s="284"/>
      <c r="H148" s="178"/>
      <c r="I148" s="177">
        <f>I80</f>
        <v>1834.12</v>
      </c>
      <c r="J148" s="178"/>
      <c r="K148" s="177">
        <f>K80</f>
        <v>1785.72</v>
      </c>
      <c r="L148" s="178"/>
      <c r="M148" s="177">
        <f>M80</f>
        <v>1823.12</v>
      </c>
      <c r="N148" s="178"/>
      <c r="O148" s="177">
        <f>O80</f>
        <v>1825.32</v>
      </c>
      <c r="P148" s="178"/>
      <c r="Q148" s="177">
        <f>Q80</f>
        <v>1798.92</v>
      </c>
      <c r="R148" s="178"/>
      <c r="S148" s="177">
        <f>S80</f>
        <v>1825.32</v>
      </c>
    </row>
    <row r="149" spans="1:19" ht="12.75" customHeight="1">
      <c r="A149" s="176" t="s">
        <v>62</v>
      </c>
      <c r="B149" s="284" t="s">
        <v>160</v>
      </c>
      <c r="C149" s="284"/>
      <c r="D149" s="284"/>
      <c r="E149" s="284"/>
      <c r="F149" s="284"/>
      <c r="G149" s="284"/>
      <c r="H149" s="178"/>
      <c r="I149" s="177">
        <f>I89</f>
        <v>60.12</v>
      </c>
      <c r="J149" s="178"/>
      <c r="K149" s="177">
        <f>K89</f>
        <v>60.12</v>
      </c>
      <c r="L149" s="178"/>
      <c r="M149" s="177">
        <f>M89</f>
        <v>60.12</v>
      </c>
      <c r="N149" s="178"/>
      <c r="O149" s="177">
        <f>O89</f>
        <v>60.12</v>
      </c>
      <c r="P149" s="178"/>
      <c r="Q149" s="177">
        <f>Q89</f>
        <v>60.12</v>
      </c>
      <c r="R149" s="178"/>
      <c r="S149" s="177">
        <f>S89</f>
        <v>60.12</v>
      </c>
    </row>
    <row r="150" spans="1:19" ht="12.75" customHeight="1">
      <c r="A150" s="176" t="s">
        <v>64</v>
      </c>
      <c r="B150" s="284" t="s">
        <v>144</v>
      </c>
      <c r="C150" s="284"/>
      <c r="D150" s="284"/>
      <c r="E150" s="284"/>
      <c r="F150" s="284"/>
      <c r="G150" s="284"/>
      <c r="H150" s="178"/>
      <c r="I150" s="177">
        <f>I117</f>
        <v>87.55</v>
      </c>
      <c r="J150" s="178"/>
      <c r="K150" s="177">
        <f>K117</f>
        <v>86.41</v>
      </c>
      <c r="L150" s="178"/>
      <c r="M150" s="177">
        <f>M117</f>
        <v>87.29</v>
      </c>
      <c r="N150" s="178"/>
      <c r="O150" s="177">
        <f>O117</f>
        <v>87.35</v>
      </c>
      <c r="P150" s="178"/>
      <c r="Q150" s="177">
        <f>Q117</f>
        <v>86.71</v>
      </c>
      <c r="R150" s="178"/>
      <c r="S150" s="177">
        <f>S117</f>
        <v>87.35</v>
      </c>
    </row>
    <row r="151" spans="1:19" ht="12.75" customHeight="1">
      <c r="A151" s="176" t="s">
        <v>66</v>
      </c>
      <c r="B151" s="284" t="s">
        <v>161</v>
      </c>
      <c r="C151" s="284"/>
      <c r="D151" s="284"/>
      <c r="E151" s="284"/>
      <c r="F151" s="284"/>
      <c r="G151" s="284"/>
      <c r="H151" s="178"/>
      <c r="I151" s="177">
        <f>I129</f>
        <v>41.27</v>
      </c>
      <c r="J151" s="178"/>
      <c r="K151" s="177">
        <f>K129</f>
        <v>55.48</v>
      </c>
      <c r="L151" s="178"/>
      <c r="M151" s="177">
        <f>M129</f>
        <v>44.03</v>
      </c>
      <c r="N151" s="178"/>
      <c r="O151" s="177">
        <f>O129</f>
        <v>45.42</v>
      </c>
      <c r="P151" s="178"/>
      <c r="Q151" s="177">
        <f>Q129</f>
        <v>49.13</v>
      </c>
      <c r="R151" s="178"/>
      <c r="S151" s="177">
        <f>S129</f>
        <v>55.48</v>
      </c>
    </row>
    <row r="152" spans="1:19" ht="16.5" customHeight="1">
      <c r="A152" s="285" t="s">
        <v>162</v>
      </c>
      <c r="B152" s="285"/>
      <c r="C152" s="285"/>
      <c r="D152" s="285"/>
      <c r="E152" s="285"/>
      <c r="F152" s="285"/>
      <c r="G152" s="285"/>
      <c r="H152" s="179"/>
      <c r="I152" s="180">
        <f>SUM(I147:I151)</f>
        <v>3829.59</v>
      </c>
      <c r="J152" s="179"/>
      <c r="K152" s="180">
        <f>SUM(K147:K151)</f>
        <v>3794.26</v>
      </c>
      <c r="L152" s="179"/>
      <c r="M152" s="180">
        <f>SUM(M147:M151)</f>
        <v>3821.09</v>
      </c>
      <c r="N152" s="179"/>
      <c r="O152" s="180">
        <f>SUM(O147:O151)</f>
        <v>3824.74</v>
      </c>
      <c r="P152" s="179"/>
      <c r="Q152" s="180">
        <f>SUM(Q147:Q151)</f>
        <v>3801.41</v>
      </c>
      <c r="R152" s="179"/>
      <c r="S152" s="180">
        <f>SUM(S147:S151)</f>
        <v>3834.8</v>
      </c>
    </row>
    <row r="153" spans="1:19" ht="12.75" customHeight="1">
      <c r="A153" s="181" t="s">
        <v>84</v>
      </c>
      <c r="B153" s="286" t="s">
        <v>163</v>
      </c>
      <c r="C153" s="286"/>
      <c r="D153" s="286"/>
      <c r="E153" s="286"/>
      <c r="F153" s="286"/>
      <c r="G153" s="286"/>
      <c r="H153" s="48"/>
      <c r="I153" s="182">
        <f>I144</f>
        <v>792.33</v>
      </c>
      <c r="J153" s="48"/>
      <c r="K153" s="182">
        <f>K144</f>
        <v>785.02</v>
      </c>
      <c r="L153" s="48"/>
      <c r="M153" s="182">
        <f>M144</f>
        <v>740.63</v>
      </c>
      <c r="N153" s="48"/>
      <c r="O153" s="182">
        <f>O144</f>
        <v>692.44</v>
      </c>
      <c r="P153" s="48"/>
      <c r="Q153" s="182">
        <f>Q144</f>
        <v>736.82</v>
      </c>
      <c r="R153" s="48"/>
      <c r="S153" s="182">
        <f>S144</f>
        <v>793.41</v>
      </c>
    </row>
    <row r="154" spans="1:19" ht="16.5" customHeight="1" thickBot="1">
      <c r="A154" s="285" t="s">
        <v>164</v>
      </c>
      <c r="B154" s="285"/>
      <c r="C154" s="285"/>
      <c r="D154" s="285"/>
      <c r="E154" s="285"/>
      <c r="F154" s="285"/>
      <c r="G154" s="285"/>
      <c r="H154" s="183"/>
      <c r="I154" s="184">
        <f>SUM(I152+I138+I139)/(1-H140)</f>
        <v>4621.92</v>
      </c>
      <c r="J154" s="183"/>
      <c r="K154" s="184">
        <f>SUM(K152+K138+K139)/(1-J140)</f>
        <v>4579.28</v>
      </c>
      <c r="L154" s="183"/>
      <c r="M154" s="184">
        <f>SUM(M152+M138+M139)/(1-L140)</f>
        <v>4561.72</v>
      </c>
      <c r="N154" s="183"/>
      <c r="O154" s="184">
        <f>SUM(O152+O138+O139)/(1-N140)</f>
        <v>4517.17</v>
      </c>
      <c r="P154" s="183"/>
      <c r="Q154" s="184">
        <f>SUM(Q152+Q138+Q139)/(1-P140)</f>
        <v>4538.22</v>
      </c>
      <c r="R154" s="183"/>
      <c r="S154" s="184">
        <f>SUM(S152+S138+S139)/(1-R140)</f>
        <v>4628.21</v>
      </c>
    </row>
    <row r="155" spans="1:19" ht="19.5" customHeight="1">
      <c r="A155" s="172" t="s">
        <v>165</v>
      </c>
      <c r="B155" s="185"/>
      <c r="C155" s="185"/>
      <c r="D155" s="185"/>
      <c r="E155" s="185"/>
      <c r="F155" s="185"/>
      <c r="G155" s="185"/>
      <c r="H155" s="186" t="s">
        <v>166</v>
      </c>
      <c r="I155" s="185" t="s">
        <v>79</v>
      </c>
      <c r="J155" s="186" t="s">
        <v>166</v>
      </c>
      <c r="K155" s="185" t="s">
        <v>79</v>
      </c>
      <c r="L155" s="186" t="s">
        <v>166</v>
      </c>
      <c r="M155" s="185" t="s">
        <v>79</v>
      </c>
      <c r="N155" s="186" t="s">
        <v>166</v>
      </c>
      <c r="O155" s="185" t="s">
        <v>79</v>
      </c>
      <c r="P155" s="186" t="s">
        <v>166</v>
      </c>
      <c r="Q155" s="185" t="s">
        <v>79</v>
      </c>
      <c r="R155" s="186" t="s">
        <v>166</v>
      </c>
      <c r="S155" s="185" t="s">
        <v>79</v>
      </c>
    </row>
    <row r="156" spans="1:19">
      <c r="A156" s="43" t="s">
        <v>198</v>
      </c>
      <c r="B156" s="283" t="s">
        <v>25</v>
      </c>
      <c r="C156" s="283"/>
      <c r="D156" s="283"/>
      <c r="E156" s="283"/>
      <c r="F156" s="283"/>
      <c r="G156" s="283"/>
      <c r="H156" s="187">
        <f>H11</f>
        <v>46</v>
      </c>
      <c r="I156" s="188">
        <f>H156*I154</f>
        <v>212608.32</v>
      </c>
      <c r="J156" s="187">
        <f>J11</f>
        <v>4</v>
      </c>
      <c r="K156" s="188">
        <f>J156*K154</f>
        <v>18317.12</v>
      </c>
      <c r="L156" s="187">
        <f>L11</f>
        <v>14</v>
      </c>
      <c r="M156" s="188">
        <f>L156*M154</f>
        <v>63864.08</v>
      </c>
      <c r="N156" s="187">
        <f>N11</f>
        <v>12</v>
      </c>
      <c r="O156" s="188">
        <f>N156*O154</f>
        <v>54206.04</v>
      </c>
      <c r="P156" s="187">
        <f>P11</f>
        <v>6</v>
      </c>
      <c r="Q156" s="188">
        <f>P156*Q154</f>
        <v>27229.32</v>
      </c>
      <c r="R156" s="187">
        <f>R11</f>
        <v>4</v>
      </c>
      <c r="S156" s="188">
        <f>R156*S154</f>
        <v>18512.84</v>
      </c>
    </row>
    <row r="157" spans="1:19">
      <c r="I157" s="35"/>
    </row>
    <row r="158" spans="1:19">
      <c r="I158" s="164"/>
    </row>
    <row r="159" spans="1:19">
      <c r="I159" s="164"/>
    </row>
    <row r="160" spans="1: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2P+RltOQZ+6+hVgoXzFjw+owAnbx6uB/yeSq0nC/KxcEnJmoi9fg26o9aq7cJLkYzZ8qPE2xsgPtZBtJbWX+5Q==" saltValue="HwvmuqqoCy4ro+2llduOOQ==" spinCount="100000" sheet="1" objects="1" scenarios="1"/>
  <mergeCells count="223">
    <mergeCell ref="A1:S1"/>
    <mergeCell ref="A2:S2"/>
    <mergeCell ref="A3:S3"/>
    <mergeCell ref="A4:S4"/>
    <mergeCell ref="A5:I5"/>
    <mergeCell ref="A6:S6"/>
    <mergeCell ref="R7:S7"/>
    <mergeCell ref="B8:G8"/>
    <mergeCell ref="H8:I8"/>
    <mergeCell ref="J8:K8"/>
    <mergeCell ref="L8:M8"/>
    <mergeCell ref="N8:O8"/>
    <mergeCell ref="P8:Q8"/>
    <mergeCell ref="R8:S8"/>
    <mergeCell ref="B7:G7"/>
    <mergeCell ref="H7:I7"/>
    <mergeCell ref="J7:K7"/>
    <mergeCell ref="L7:M7"/>
    <mergeCell ref="N7:O7"/>
    <mergeCell ref="P7:Q7"/>
    <mergeCell ref="R9:S9"/>
    <mergeCell ref="B10:G10"/>
    <mergeCell ref="H10:I10"/>
    <mergeCell ref="J10:K10"/>
    <mergeCell ref="L10:M10"/>
    <mergeCell ref="N10:O10"/>
    <mergeCell ref="P10:Q10"/>
    <mergeCell ref="R10:S10"/>
    <mergeCell ref="B9:G9"/>
    <mergeCell ref="H9:I9"/>
    <mergeCell ref="J9:K9"/>
    <mergeCell ref="L9:M9"/>
    <mergeCell ref="N9:O9"/>
    <mergeCell ref="P9:Q9"/>
    <mergeCell ref="R11:S11"/>
    <mergeCell ref="B13:G13"/>
    <mergeCell ref="H13:I13"/>
    <mergeCell ref="J13:K13"/>
    <mergeCell ref="L13:M13"/>
    <mergeCell ref="N13:O13"/>
    <mergeCell ref="P13:Q13"/>
    <mergeCell ref="R13:S13"/>
    <mergeCell ref="B11:G11"/>
    <mergeCell ref="H11:I11"/>
    <mergeCell ref="J11:K11"/>
    <mergeCell ref="L11:M11"/>
    <mergeCell ref="N11:O11"/>
    <mergeCell ref="P11:Q11"/>
    <mergeCell ref="R14:S14"/>
    <mergeCell ref="B15:G15"/>
    <mergeCell ref="H15:I15"/>
    <mergeCell ref="J15:K15"/>
    <mergeCell ref="L15:M15"/>
    <mergeCell ref="N15:O15"/>
    <mergeCell ref="P15:Q15"/>
    <mergeCell ref="R15:S15"/>
    <mergeCell ref="B14:G14"/>
    <mergeCell ref="H14:I14"/>
    <mergeCell ref="J14:K14"/>
    <mergeCell ref="L14:M14"/>
    <mergeCell ref="N14:O14"/>
    <mergeCell ref="P14:Q14"/>
    <mergeCell ref="R16:S16"/>
    <mergeCell ref="B17:G17"/>
    <mergeCell ref="H17:I17"/>
    <mergeCell ref="J17:K17"/>
    <mergeCell ref="L17:M17"/>
    <mergeCell ref="N17:O17"/>
    <mergeCell ref="P17:Q17"/>
    <mergeCell ref="R17:S17"/>
    <mergeCell ref="B16:G16"/>
    <mergeCell ref="H16:I16"/>
    <mergeCell ref="J16:K16"/>
    <mergeCell ref="L16:M16"/>
    <mergeCell ref="N16:O16"/>
    <mergeCell ref="P16:Q16"/>
    <mergeCell ref="R18:S18"/>
    <mergeCell ref="B19:G19"/>
    <mergeCell ref="H19:I19"/>
    <mergeCell ref="J19:K19"/>
    <mergeCell ref="L19:M19"/>
    <mergeCell ref="N19:O19"/>
    <mergeCell ref="P19:Q19"/>
    <mergeCell ref="R19:S19"/>
    <mergeCell ref="B18:G18"/>
    <mergeCell ref="H18:I18"/>
    <mergeCell ref="J18:K18"/>
    <mergeCell ref="L18:M18"/>
    <mergeCell ref="N18:O18"/>
    <mergeCell ref="P18:Q18"/>
    <mergeCell ref="B27:G27"/>
    <mergeCell ref="B28:D28"/>
    <mergeCell ref="E28:G28"/>
    <mergeCell ref="A29:G29"/>
    <mergeCell ref="B31:G31"/>
    <mergeCell ref="B32:G32"/>
    <mergeCell ref="R20:S20"/>
    <mergeCell ref="B22:G22"/>
    <mergeCell ref="B23:G23"/>
    <mergeCell ref="B24:G24"/>
    <mergeCell ref="B25:G25"/>
    <mergeCell ref="B26:G26"/>
    <mergeCell ref="B20:G20"/>
    <mergeCell ref="H20:I20"/>
    <mergeCell ref="J20:K20"/>
    <mergeCell ref="L20:M20"/>
    <mergeCell ref="N20:O20"/>
    <mergeCell ref="P20:Q20"/>
    <mergeCell ref="A40:G40"/>
    <mergeCell ref="A41:G43"/>
    <mergeCell ref="B45:G45"/>
    <mergeCell ref="B46:G46"/>
    <mergeCell ref="B47:G47"/>
    <mergeCell ref="B48:G48"/>
    <mergeCell ref="B33:G33"/>
    <mergeCell ref="C34:G34"/>
    <mergeCell ref="C35:G35"/>
    <mergeCell ref="C37:G37"/>
    <mergeCell ref="C38:G38"/>
    <mergeCell ref="C39:G39"/>
    <mergeCell ref="B56:G56"/>
    <mergeCell ref="B57:G57"/>
    <mergeCell ref="I57:I60"/>
    <mergeCell ref="K57:K60"/>
    <mergeCell ref="M57:M60"/>
    <mergeCell ref="O57:O60"/>
    <mergeCell ref="B49:G49"/>
    <mergeCell ref="B50:G50"/>
    <mergeCell ref="B51:G51"/>
    <mergeCell ref="B52:G52"/>
    <mergeCell ref="B53:G53"/>
    <mergeCell ref="A54:G54"/>
    <mergeCell ref="Q57:Q60"/>
    <mergeCell ref="S57:S60"/>
    <mergeCell ref="B58:G58"/>
    <mergeCell ref="B59:G59"/>
    <mergeCell ref="B60:G60"/>
    <mergeCell ref="B61:G61"/>
    <mergeCell ref="I61:I64"/>
    <mergeCell ref="K61:K64"/>
    <mergeCell ref="M61:M64"/>
    <mergeCell ref="O61:O64"/>
    <mergeCell ref="B66:G66"/>
    <mergeCell ref="B67:G67"/>
    <mergeCell ref="B68:G68"/>
    <mergeCell ref="B70:G70"/>
    <mergeCell ref="B71:G71"/>
    <mergeCell ref="B72:G72"/>
    <mergeCell ref="Q61:Q64"/>
    <mergeCell ref="S61:S64"/>
    <mergeCell ref="B62:G62"/>
    <mergeCell ref="B63:G63"/>
    <mergeCell ref="B64:G64"/>
    <mergeCell ref="B65:G65"/>
    <mergeCell ref="A80:G80"/>
    <mergeCell ref="B82:G82"/>
    <mergeCell ref="B83:G83"/>
    <mergeCell ref="B84:G84"/>
    <mergeCell ref="B85:G85"/>
    <mergeCell ref="B86:G86"/>
    <mergeCell ref="B73:G73"/>
    <mergeCell ref="A74:G74"/>
    <mergeCell ref="B76:G76"/>
    <mergeCell ref="B77:G77"/>
    <mergeCell ref="B78:G78"/>
    <mergeCell ref="B79:G79"/>
    <mergeCell ref="B98:G98"/>
    <mergeCell ref="B99:G99"/>
    <mergeCell ref="B100:G100"/>
    <mergeCell ref="B101:G101"/>
    <mergeCell ref="B102:G102"/>
    <mergeCell ref="B103:G103"/>
    <mergeCell ref="B87:G87"/>
    <mergeCell ref="B88:G88"/>
    <mergeCell ref="A89:G89"/>
    <mergeCell ref="A90:G93"/>
    <mergeCell ref="B96:G96"/>
    <mergeCell ref="B97:G97"/>
    <mergeCell ref="B110:G110"/>
    <mergeCell ref="B111:G111"/>
    <mergeCell ref="A112:G112"/>
    <mergeCell ref="B114:G114"/>
    <mergeCell ref="B115:G115"/>
    <mergeCell ref="B116:G116"/>
    <mergeCell ref="B104:G104"/>
    <mergeCell ref="B105:G105"/>
    <mergeCell ref="B106:G106"/>
    <mergeCell ref="B107:G107"/>
    <mergeCell ref="B108:G108"/>
    <mergeCell ref="A109:G109"/>
    <mergeCell ref="B127:G127"/>
    <mergeCell ref="B128:G128"/>
    <mergeCell ref="A129:G129"/>
    <mergeCell ref="A117:G117"/>
    <mergeCell ref="B119:G119"/>
    <mergeCell ref="B120:G120"/>
    <mergeCell ref="B121:G121"/>
    <mergeCell ref="B122:G122"/>
    <mergeCell ref="B123:G123"/>
    <mergeCell ref="B156:G156"/>
    <mergeCell ref="C36:G36"/>
    <mergeCell ref="B69:G69"/>
    <mergeCell ref="B149:G149"/>
    <mergeCell ref="B150:G150"/>
    <mergeCell ref="B151:G151"/>
    <mergeCell ref="A152:G152"/>
    <mergeCell ref="B153:G153"/>
    <mergeCell ref="A154:G154"/>
    <mergeCell ref="B142:G142"/>
    <mergeCell ref="B143:G143"/>
    <mergeCell ref="A144:G144"/>
    <mergeCell ref="A146:G146"/>
    <mergeCell ref="B147:G147"/>
    <mergeCell ref="B148:G148"/>
    <mergeCell ref="A130:G135"/>
    <mergeCell ref="B137:G137"/>
    <mergeCell ref="B138:G138"/>
    <mergeCell ref="B139:G139"/>
    <mergeCell ref="B140:G140"/>
    <mergeCell ref="B141:G141"/>
    <mergeCell ref="B124:G124"/>
    <mergeCell ref="B125:G125"/>
    <mergeCell ref="B126:G126"/>
  </mergeCells>
  <pageMargins left="0.511811024" right="0.511811024" top="0.78740157500000008" bottom="0.78740157500000008" header="0.31496062000000008" footer="0.31496062000000008"/>
  <pageSetup paperSize="9" scale="65" fitToWidth="0"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CF665-4B2F-44D7-A1E1-50F345FE4BD2}">
  <dimension ref="A1:J273"/>
  <sheetViews>
    <sheetView workbookViewId="0">
      <selection activeCell="H10" sqref="H10:I10"/>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21.7265625" style="35" customWidth="1"/>
    <col min="8" max="8" width="15.81640625" style="35" bestFit="1" customWidth="1"/>
    <col min="9" max="9" width="15.81640625" style="189" customWidth="1"/>
    <col min="10" max="10" width="11.7265625" style="35" customWidth="1"/>
    <col min="11" max="16384" width="11.7265625" style="35"/>
  </cols>
  <sheetData>
    <row r="1" spans="1:9" ht="66.75" customHeight="1">
      <c r="A1" s="385" t="s">
        <v>53</v>
      </c>
      <c r="B1" s="394"/>
      <c r="C1" s="394"/>
      <c r="D1" s="394"/>
      <c r="E1" s="394"/>
      <c r="F1" s="394"/>
      <c r="G1" s="394"/>
      <c r="H1" s="394"/>
      <c r="I1" s="395"/>
    </row>
    <row r="2" spans="1:9" ht="12.75" customHeight="1">
      <c r="A2" s="372" t="s">
        <v>287</v>
      </c>
      <c r="B2" s="388"/>
      <c r="C2" s="391" t="str">
        <f>'DADOS BÁSICOS LICITAÇÃO'!D4</f>
        <v>08385.000738/2021-44</v>
      </c>
      <c r="D2" s="388"/>
      <c r="E2" s="372"/>
      <c r="F2" s="373"/>
      <c r="G2" s="373"/>
      <c r="H2" s="373"/>
      <c r="I2" s="373"/>
    </row>
    <row r="3" spans="1:9" ht="12.75" customHeight="1">
      <c r="A3" s="372" t="s">
        <v>285</v>
      </c>
      <c r="B3" s="388"/>
      <c r="C3" s="372" t="str">
        <f>'DADOS BÁSICOS LICITAÇÃO'!E4</f>
        <v>01/2021</v>
      </c>
      <c r="D3" s="388"/>
      <c r="E3" s="372"/>
      <c r="F3" s="373"/>
      <c r="G3" s="373"/>
      <c r="H3" s="373"/>
      <c r="I3" s="373"/>
    </row>
    <row r="4" spans="1:9" ht="12.75" customHeight="1">
      <c r="A4" s="374" t="s">
        <v>288</v>
      </c>
      <c r="B4" s="389"/>
      <c r="C4" s="392">
        <f>'DADOS BÁSICOS LICITAÇÃO'!B4</f>
        <v>44358</v>
      </c>
      <c r="D4" s="389"/>
      <c r="E4" s="374"/>
      <c r="F4" s="375"/>
      <c r="G4" s="375"/>
      <c r="H4" s="375"/>
      <c r="I4" s="375"/>
    </row>
    <row r="5" spans="1:9" ht="12.75" customHeight="1">
      <c r="A5" s="390" t="s">
        <v>289</v>
      </c>
      <c r="B5" s="390"/>
      <c r="C5" s="393">
        <f>'DADOS BÁSICOS LICITAÇÃO'!C4</f>
        <v>0.39583333333333298</v>
      </c>
      <c r="D5" s="390"/>
      <c r="E5" s="376"/>
      <c r="F5" s="376"/>
      <c r="G5" s="376"/>
      <c r="H5" s="376"/>
      <c r="I5" s="376"/>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3º ANO'!$A$4</f>
        <v>44344</v>
      </c>
      <c r="I7" s="346"/>
    </row>
    <row r="8" spans="1:9" ht="12.75" customHeight="1">
      <c r="A8" s="36" t="s">
        <v>60</v>
      </c>
      <c r="B8" s="286" t="s">
        <v>61</v>
      </c>
      <c r="C8" s="286"/>
      <c r="D8" s="286"/>
      <c r="E8" s="286"/>
      <c r="F8" s="286"/>
      <c r="G8" s="286"/>
      <c r="H8" s="345" t="str">
        <f>'DADOS BÁSICOS 3º ANO'!A8</f>
        <v>Curitiba/PR</v>
      </c>
      <c r="I8" s="345"/>
    </row>
    <row r="9" spans="1:9" ht="12.75" customHeight="1">
      <c r="A9" s="36" t="s">
        <v>62</v>
      </c>
      <c r="B9" s="286" t="s">
        <v>63</v>
      </c>
      <c r="C9" s="286"/>
      <c r="D9" s="286"/>
      <c r="E9" s="286"/>
      <c r="F9" s="286"/>
      <c r="G9" s="286"/>
      <c r="H9" s="344" t="str">
        <f>'DADOS BÁSICOS 3º ANO'!D8</f>
        <v>PR000326/2021</v>
      </c>
      <c r="I9" s="344"/>
    </row>
    <row r="10" spans="1:9" ht="12.75" customHeight="1">
      <c r="A10" s="36" t="s">
        <v>64</v>
      </c>
      <c r="B10" s="286" t="s">
        <v>65</v>
      </c>
      <c r="C10" s="286"/>
      <c r="D10" s="286"/>
      <c r="E10" s="286"/>
      <c r="F10" s="286"/>
      <c r="G10" s="286"/>
      <c r="H10" s="344">
        <f>'DADOS BÁSICOS 3º ANO'!$E$17</f>
        <v>12</v>
      </c>
      <c r="I10" s="344"/>
    </row>
    <row r="11" spans="1:9" ht="12.75" customHeight="1">
      <c r="A11" s="36" t="s">
        <v>66</v>
      </c>
      <c r="B11" s="286" t="s">
        <v>67</v>
      </c>
      <c r="C11" s="286"/>
      <c r="D11" s="286"/>
      <c r="E11" s="286"/>
      <c r="F11" s="286"/>
      <c r="G11" s="286"/>
      <c r="H11" s="344">
        <f>'DADOS BÁSICOS 3º ANO'!B14</f>
        <v>2</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3º ANO'!A18</f>
        <v>4222-05</v>
      </c>
      <c r="I14" s="342"/>
    </row>
    <row r="15" spans="1:9" ht="12.75" customHeight="1">
      <c r="A15" s="36">
        <v>4</v>
      </c>
      <c r="B15" s="286" t="s">
        <v>73</v>
      </c>
      <c r="C15" s="286"/>
      <c r="D15" s="286"/>
      <c r="E15" s="286"/>
      <c r="F15" s="286"/>
      <c r="G15" s="286"/>
      <c r="H15" s="342" t="str">
        <f>'DADOS BÁSICOS 3º ANO'!B18</f>
        <v>Telefonista</v>
      </c>
      <c r="I15" s="342"/>
    </row>
    <row r="16" spans="1:9" ht="15" customHeight="1">
      <c r="A16" s="41">
        <v>5</v>
      </c>
      <c r="B16" s="286" t="s">
        <v>74</v>
      </c>
      <c r="C16" s="286"/>
      <c r="D16" s="286"/>
      <c r="E16" s="286"/>
      <c r="F16" s="286"/>
      <c r="G16" s="286"/>
      <c r="H16" s="384">
        <f>'DADOS BÁSICOS 3º ANO'!E8</f>
        <v>44228</v>
      </c>
      <c r="I16" s="384"/>
    </row>
    <row r="17" spans="1:9" ht="12.75" customHeight="1">
      <c r="A17" s="36">
        <v>3</v>
      </c>
      <c r="B17" s="286" t="s">
        <v>72</v>
      </c>
      <c r="C17" s="286"/>
      <c r="D17" s="286"/>
      <c r="E17" s="286"/>
      <c r="F17" s="286"/>
      <c r="G17" s="286"/>
      <c r="H17" s="383">
        <f>'DADOS BÁSICOS 3º ANO'!H14</f>
        <v>1415.56</v>
      </c>
      <c r="I17" s="383"/>
    </row>
    <row r="18" spans="1:9" ht="12.75" customHeight="1">
      <c r="A18" s="43">
        <v>6</v>
      </c>
      <c r="B18" s="284" t="s">
        <v>233</v>
      </c>
      <c r="C18" s="284"/>
      <c r="D18" s="284"/>
      <c r="E18" s="284"/>
      <c r="F18" s="284"/>
      <c r="G18" s="284"/>
      <c r="H18" s="382">
        <f>'DADOS BÁSICOS 3º ANO'!G14</f>
        <v>180</v>
      </c>
      <c r="I18" s="382"/>
    </row>
    <row r="19" spans="1:9" ht="12.75" customHeight="1">
      <c r="A19" s="43">
        <v>6</v>
      </c>
      <c r="B19" s="303" t="s">
        <v>234</v>
      </c>
      <c r="C19" s="303"/>
      <c r="D19" s="303"/>
      <c r="E19" s="303"/>
      <c r="F19" s="303"/>
      <c r="G19" s="284"/>
      <c r="H19" s="336">
        <f>'DADOS BÁSICOS 3º ANO'!C18</f>
        <v>150</v>
      </c>
      <c r="I19" s="337"/>
    </row>
    <row r="20" spans="1:9" ht="12.75" customHeight="1">
      <c r="A20" s="43">
        <v>7</v>
      </c>
      <c r="B20" s="284" t="s">
        <v>75</v>
      </c>
      <c r="C20" s="284"/>
      <c r="D20" s="284"/>
      <c r="E20" s="284"/>
      <c r="F20" s="284"/>
      <c r="G20" s="284"/>
      <c r="H20" s="336">
        <f>'DADOS BÁSICOS 3º ANO'!$F$17</f>
        <v>22</v>
      </c>
      <c r="I20" s="337"/>
    </row>
    <row r="21" spans="1:9">
      <c r="A21" s="44" t="s">
        <v>76</v>
      </c>
      <c r="B21" s="38"/>
      <c r="C21" s="38"/>
      <c r="D21" s="38"/>
      <c r="E21" s="38"/>
      <c r="F21" s="38"/>
      <c r="G21" s="38"/>
      <c r="H21" s="39"/>
      <c r="I21" s="40"/>
    </row>
    <row r="22" spans="1:9" ht="12.75" customHeight="1">
      <c r="A22" s="45">
        <v>1</v>
      </c>
      <c r="B22" s="288" t="s">
        <v>77</v>
      </c>
      <c r="C22" s="288"/>
      <c r="D22" s="288"/>
      <c r="E22" s="288"/>
      <c r="F22" s="288"/>
      <c r="G22" s="288"/>
      <c r="H22" s="46" t="s">
        <v>78</v>
      </c>
      <c r="I22" s="47" t="s">
        <v>79</v>
      </c>
    </row>
    <row r="23" spans="1:9" ht="12.75" customHeight="1">
      <c r="A23" s="36" t="s">
        <v>58</v>
      </c>
      <c r="B23" s="286" t="s">
        <v>235</v>
      </c>
      <c r="C23" s="286"/>
      <c r="D23" s="286"/>
      <c r="E23" s="286"/>
      <c r="F23" s="286"/>
      <c r="G23" s="286"/>
      <c r="H23" s="48"/>
      <c r="I23" s="57">
        <f>(H$17/'DADOS BÁSICOS 3º ANO'!$G14)*'DADOS BÁSICOS 3º ANO'!$C$18</f>
        <v>1179.6300000000001</v>
      </c>
    </row>
    <row r="24" spans="1:9" ht="12.75" customHeight="1">
      <c r="A24" s="36" t="s">
        <v>60</v>
      </c>
      <c r="B24" s="335" t="s">
        <v>80</v>
      </c>
      <c r="C24" s="335"/>
      <c r="D24" s="335"/>
      <c r="E24" s="335"/>
      <c r="F24" s="335"/>
      <c r="G24" s="335"/>
      <c r="H24" s="50">
        <v>0.3</v>
      </c>
      <c r="I24" s="71">
        <f>I23*H24</f>
        <v>353.89</v>
      </c>
    </row>
    <row r="25" spans="1:9" s="55" customFormat="1" ht="12.75" customHeight="1">
      <c r="A25" s="52" t="s">
        <v>62</v>
      </c>
      <c r="B25" s="335" t="s">
        <v>81</v>
      </c>
      <c r="C25" s="335"/>
      <c r="D25" s="335"/>
      <c r="E25" s="335"/>
      <c r="F25" s="335"/>
      <c r="G25" s="335"/>
      <c r="H25" s="53"/>
      <c r="I25" s="54"/>
    </row>
    <row r="26" spans="1:9" s="55" customFormat="1" ht="12.75" customHeight="1">
      <c r="A26" s="52" t="s">
        <v>64</v>
      </c>
      <c r="B26" s="286" t="s">
        <v>82</v>
      </c>
      <c r="C26" s="286"/>
      <c r="D26" s="286"/>
      <c r="E26" s="286"/>
      <c r="F26" s="286"/>
      <c r="G26" s="286"/>
      <c r="H26" s="56"/>
      <c r="I26" s="57"/>
    </row>
    <row r="27" spans="1:9" s="55" customFormat="1" ht="12.75" customHeight="1">
      <c r="A27" s="52" t="s">
        <v>66</v>
      </c>
      <c r="B27" s="286" t="s">
        <v>83</v>
      </c>
      <c r="C27" s="286"/>
      <c r="D27" s="286"/>
      <c r="E27" s="326"/>
      <c r="F27" s="326"/>
      <c r="G27" s="326"/>
      <c r="H27" s="58"/>
      <c r="I27" s="57"/>
    </row>
    <row r="28" spans="1:9" s="55" customFormat="1" ht="12.75" customHeight="1">
      <c r="A28" s="59" t="s">
        <v>84</v>
      </c>
      <c r="B28" s="327"/>
      <c r="C28" s="328"/>
      <c r="D28" s="328"/>
      <c r="E28" s="329"/>
      <c r="F28" s="330"/>
      <c r="G28" s="331"/>
      <c r="H28" s="60"/>
      <c r="I28" s="57"/>
    </row>
    <row r="29" spans="1:9" s="55" customFormat="1" ht="12.75" customHeight="1">
      <c r="A29" s="332" t="s">
        <v>85</v>
      </c>
      <c r="B29" s="332"/>
      <c r="C29" s="332"/>
      <c r="D29" s="332"/>
      <c r="E29" s="333"/>
      <c r="F29" s="333"/>
      <c r="G29" s="333"/>
      <c r="H29" s="61"/>
      <c r="I29" s="62">
        <f>SUM(I23:I28)</f>
        <v>1533.52</v>
      </c>
    </row>
    <row r="30" spans="1:9">
      <c r="A30" s="37" t="s">
        <v>86</v>
      </c>
      <c r="B30" s="63"/>
      <c r="C30" s="63"/>
      <c r="D30" s="63"/>
      <c r="E30" s="63"/>
      <c r="F30" s="63"/>
      <c r="G30" s="63"/>
      <c r="H30" s="64"/>
      <c r="I30" s="65"/>
    </row>
    <row r="31" spans="1:9" ht="18" customHeight="1">
      <c r="A31" s="66" t="s">
        <v>87</v>
      </c>
      <c r="B31" s="334" t="s">
        <v>88</v>
      </c>
      <c r="C31" s="334"/>
      <c r="D31" s="334"/>
      <c r="E31" s="334"/>
      <c r="F31" s="334"/>
      <c r="G31" s="334"/>
      <c r="H31" s="67" t="s">
        <v>89</v>
      </c>
      <c r="I31" s="68" t="s">
        <v>79</v>
      </c>
    </row>
    <row r="32" spans="1:9" ht="16.5" customHeight="1">
      <c r="A32" s="69" t="s">
        <v>58</v>
      </c>
      <c r="B32" s="286" t="s">
        <v>90</v>
      </c>
      <c r="C32" s="286"/>
      <c r="D32" s="286"/>
      <c r="E32" s="286"/>
      <c r="F32" s="286"/>
      <c r="G32" s="286"/>
      <c r="H32" s="70">
        <f>1/12</f>
        <v>8.3299999999999999E-2</v>
      </c>
      <c r="I32" s="71">
        <f>I$29*H$32</f>
        <v>127.74</v>
      </c>
    </row>
    <row r="33" spans="1:9" ht="16.5" customHeight="1">
      <c r="A33" s="69" t="s">
        <v>60</v>
      </c>
      <c r="B33" s="286" t="s">
        <v>91</v>
      </c>
      <c r="C33" s="286"/>
      <c r="D33" s="286"/>
      <c r="E33" s="286"/>
      <c r="F33" s="286"/>
      <c r="G33" s="286"/>
      <c r="H33" s="70">
        <f>SUM(H34:H39)</f>
        <v>0.13639999999999999</v>
      </c>
      <c r="I33" s="71">
        <f>SUM(I34:I39)</f>
        <v>209.15</v>
      </c>
    </row>
    <row r="34" spans="1:9" ht="16.5" customHeight="1">
      <c r="A34" s="69"/>
      <c r="B34" s="69" t="s">
        <v>183</v>
      </c>
      <c r="C34" s="302" t="s">
        <v>188</v>
      </c>
      <c r="D34" s="303"/>
      <c r="E34" s="303"/>
      <c r="F34" s="303"/>
      <c r="G34" s="284"/>
      <c r="H34" s="70">
        <f>(1/3)/12</f>
        <v>2.7799999999999998E-2</v>
      </c>
      <c r="I34" s="71">
        <f t="shared" ref="I34:I39" si="0">I$29*H34</f>
        <v>42.63</v>
      </c>
    </row>
    <row r="35" spans="1:9" ht="16.5" customHeight="1">
      <c r="A35" s="72"/>
      <c r="B35" s="72" t="s">
        <v>184</v>
      </c>
      <c r="C35" s="320" t="s">
        <v>205</v>
      </c>
      <c r="D35" s="321"/>
      <c r="E35" s="321"/>
      <c r="F35" s="321"/>
      <c r="G35" s="322"/>
      <c r="H35" s="73">
        <f>1/12</f>
        <v>8.3299999999999999E-2</v>
      </c>
      <c r="I35" s="246">
        <f t="shared" si="0"/>
        <v>127.74</v>
      </c>
    </row>
    <row r="36" spans="1:9" ht="16.5" customHeight="1">
      <c r="A36" s="72"/>
      <c r="B36" s="72" t="s">
        <v>266</v>
      </c>
      <c r="C36" s="320" t="s">
        <v>267</v>
      </c>
      <c r="D36" s="321"/>
      <c r="E36" s="321"/>
      <c r="F36" s="321"/>
      <c r="G36" s="322"/>
      <c r="H36" s="73">
        <f>(1/11)/12</f>
        <v>7.6E-3</v>
      </c>
      <c r="I36" s="74">
        <f t="shared" si="0"/>
        <v>11.65</v>
      </c>
    </row>
    <row r="37" spans="1:9" ht="16.5" customHeight="1">
      <c r="A37" s="76"/>
      <c r="B37" s="76" t="s">
        <v>185</v>
      </c>
      <c r="C37" s="323" t="s">
        <v>206</v>
      </c>
      <c r="D37" s="324"/>
      <c r="E37" s="324"/>
      <c r="F37" s="324"/>
      <c r="G37" s="325"/>
      <c r="H37" s="77">
        <f>((H11/11)/12)/H11</f>
        <v>7.6E-3</v>
      </c>
      <c r="I37" s="226">
        <f t="shared" si="0"/>
        <v>11.65</v>
      </c>
    </row>
    <row r="38" spans="1:9" ht="16.5" customHeight="1">
      <c r="A38" s="76"/>
      <c r="B38" s="76" t="s">
        <v>186</v>
      </c>
      <c r="C38" s="323" t="s">
        <v>207</v>
      </c>
      <c r="D38" s="324"/>
      <c r="E38" s="324"/>
      <c r="F38" s="324"/>
      <c r="G38" s="325"/>
      <c r="H38" s="77">
        <f>H37/3</f>
        <v>2.5000000000000001E-3</v>
      </c>
      <c r="I38" s="226">
        <f t="shared" si="0"/>
        <v>3.83</v>
      </c>
    </row>
    <row r="39" spans="1:9" ht="16.5" customHeight="1">
      <c r="A39" s="76"/>
      <c r="B39" s="76" t="s">
        <v>187</v>
      </c>
      <c r="C39" s="323" t="s">
        <v>208</v>
      </c>
      <c r="D39" s="324"/>
      <c r="E39" s="324"/>
      <c r="F39" s="324"/>
      <c r="G39" s="325"/>
      <c r="H39" s="77">
        <f>((H11/11)/12)/H11</f>
        <v>7.6E-3</v>
      </c>
      <c r="I39" s="226">
        <f t="shared" si="0"/>
        <v>11.65</v>
      </c>
    </row>
    <row r="40" spans="1:9">
      <c r="A40" s="287" t="s">
        <v>85</v>
      </c>
      <c r="B40" s="287"/>
      <c r="C40" s="287"/>
      <c r="D40" s="287"/>
      <c r="E40" s="287"/>
      <c r="F40" s="287"/>
      <c r="G40" s="287"/>
      <c r="H40" s="79">
        <f>SUM(H32:H33)</f>
        <v>0.21970000000000001</v>
      </c>
      <c r="I40" s="80">
        <f>SUM(I32:I33)</f>
        <v>336.89</v>
      </c>
    </row>
    <row r="41" spans="1:9">
      <c r="A41" s="304" t="s">
        <v>92</v>
      </c>
      <c r="B41" s="304"/>
      <c r="C41" s="304"/>
      <c r="D41" s="304"/>
      <c r="E41" s="304"/>
      <c r="F41" s="304"/>
      <c r="G41" s="304"/>
      <c r="H41" s="81" t="s">
        <v>93</v>
      </c>
      <c r="I41" s="82">
        <f>I29</f>
        <v>1533.52</v>
      </c>
    </row>
    <row r="42" spans="1:9">
      <c r="A42" s="304"/>
      <c r="B42" s="304"/>
      <c r="C42" s="304"/>
      <c r="D42" s="304"/>
      <c r="E42" s="304"/>
      <c r="F42" s="304"/>
      <c r="G42" s="304"/>
      <c r="H42" s="81" t="s">
        <v>99</v>
      </c>
      <c r="I42" s="82">
        <f>I40</f>
        <v>336.89</v>
      </c>
    </row>
    <row r="43" spans="1:9">
      <c r="A43" s="304"/>
      <c r="B43" s="304"/>
      <c r="C43" s="304"/>
      <c r="D43" s="304"/>
      <c r="E43" s="304"/>
      <c r="F43" s="304"/>
      <c r="G43" s="304"/>
      <c r="H43" s="81" t="s">
        <v>85</v>
      </c>
      <c r="I43" s="82">
        <f>SUM(I41:I42)</f>
        <v>1870.41</v>
      </c>
    </row>
    <row r="44" spans="1:9" ht="33" customHeight="1">
      <c r="A44" s="37" t="s">
        <v>105</v>
      </c>
      <c r="B44" s="63"/>
      <c r="C44" s="63"/>
      <c r="D44" s="63"/>
      <c r="E44" s="63"/>
      <c r="F44" s="63"/>
      <c r="G44" s="63"/>
      <c r="H44" s="64"/>
      <c r="I44" s="65"/>
    </row>
    <row r="45" spans="1:9" ht="19.5" customHeight="1">
      <c r="A45" s="83" t="s">
        <v>106</v>
      </c>
      <c r="B45" s="288" t="s">
        <v>107</v>
      </c>
      <c r="C45" s="288"/>
      <c r="D45" s="288"/>
      <c r="E45" s="288"/>
      <c r="F45" s="288"/>
      <c r="G45" s="288"/>
      <c r="H45" s="67" t="s">
        <v>89</v>
      </c>
      <c r="I45" s="84" t="s">
        <v>79</v>
      </c>
    </row>
    <row r="46" spans="1:9" ht="12.75" customHeight="1">
      <c r="A46" s="85" t="s">
        <v>58</v>
      </c>
      <c r="B46" s="286" t="s">
        <v>32</v>
      </c>
      <c r="C46" s="286"/>
      <c r="D46" s="286"/>
      <c r="E46" s="286"/>
      <c r="F46" s="286"/>
      <c r="G46" s="286"/>
      <c r="H46" s="50">
        <f>IF('DADOS BÁSICOS 3º ANO'!$B$25="LUCRO PRESUMIDO",'DADOS BÁSICOS 3º ANO'!$B$29,'DADOS BÁSICOS 3º ANO'!$C$29)</f>
        <v>0.2</v>
      </c>
      <c r="I46" s="71">
        <f>I43*H46</f>
        <v>374.08</v>
      </c>
    </row>
    <row r="47" spans="1:9" ht="12.75" customHeight="1">
      <c r="A47" s="85" t="s">
        <v>60</v>
      </c>
      <c r="B47" s="286" t="s">
        <v>108</v>
      </c>
      <c r="C47" s="286"/>
      <c r="D47" s="286"/>
      <c r="E47" s="286"/>
      <c r="F47" s="286"/>
      <c r="G47" s="286"/>
      <c r="H47" s="50">
        <f>IF('DADOS BÁSICOS 3º ANO'!$B$25="LUCRO PRESUMIDO",'DADOS BÁSICOS 3º ANO'!$B$30,'DADOS BÁSICOS 3º ANO'!$C$30)</f>
        <v>2.5000000000000001E-2</v>
      </c>
      <c r="I47" s="71">
        <f>I43*H47</f>
        <v>46.76</v>
      </c>
    </row>
    <row r="48" spans="1:9" ht="17.25" customHeight="1">
      <c r="A48" s="85" t="s">
        <v>62</v>
      </c>
      <c r="B48" s="286" t="s">
        <v>109</v>
      </c>
      <c r="C48" s="286"/>
      <c r="D48" s="286"/>
      <c r="E48" s="286"/>
      <c r="F48" s="286"/>
      <c r="G48" s="286"/>
      <c r="H48" s="50">
        <f>IF('DADOS BÁSICOS 3º ANO'!$B$25="LUCRO PRESUMIDO",'DADOS BÁSICOS 3º ANO'!$B$31,'DADOS BÁSICOS 3º ANO'!$C$31)</f>
        <v>0.03</v>
      </c>
      <c r="I48" s="71">
        <f>I43*H48</f>
        <v>56.11</v>
      </c>
    </row>
    <row r="49" spans="1:10" ht="12.75" customHeight="1">
      <c r="A49" s="85" t="s">
        <v>64</v>
      </c>
      <c r="B49" s="286" t="s">
        <v>35</v>
      </c>
      <c r="C49" s="286"/>
      <c r="D49" s="286"/>
      <c r="E49" s="286"/>
      <c r="F49" s="286"/>
      <c r="G49" s="286"/>
      <c r="H49" s="50">
        <f>IF('DADOS BÁSICOS 3º ANO'!$B$25="LUCRO PRESUMIDO",'DADOS BÁSICOS 3º ANO'!$B$32,'DADOS BÁSICOS 3º ANO'!$C$32)</f>
        <v>1.4999999999999999E-2</v>
      </c>
      <c r="I49" s="71">
        <f>I43*H49</f>
        <v>28.06</v>
      </c>
    </row>
    <row r="50" spans="1:10" ht="12.75" customHeight="1">
      <c r="A50" s="85" t="s">
        <v>66</v>
      </c>
      <c r="B50" s="286" t="s">
        <v>36</v>
      </c>
      <c r="C50" s="286"/>
      <c r="D50" s="286"/>
      <c r="E50" s="286"/>
      <c r="F50" s="286"/>
      <c r="G50" s="286"/>
      <c r="H50" s="50">
        <f>IF('DADOS BÁSICOS 3º ANO'!$B$25="LUCRO PRESUMIDO",'DADOS BÁSICOS 3º ANO'!$B$33,'DADOS BÁSICOS 3º ANO'!$C$33)</f>
        <v>0.01</v>
      </c>
      <c r="I50" s="71">
        <f>I43*H50</f>
        <v>18.7</v>
      </c>
    </row>
    <row r="51" spans="1:10" ht="12.75" customHeight="1">
      <c r="A51" s="85" t="s">
        <v>84</v>
      </c>
      <c r="B51" s="286" t="s">
        <v>37</v>
      </c>
      <c r="C51" s="286"/>
      <c r="D51" s="286"/>
      <c r="E51" s="286"/>
      <c r="F51" s="286"/>
      <c r="G51" s="286"/>
      <c r="H51" s="50">
        <f>IF('DADOS BÁSICOS 3º ANO'!$B$25="LUCRO PRESUMIDO",'DADOS BÁSICOS 3º ANO'!$B$34,'DADOS BÁSICOS 3º ANO'!$C$34)</f>
        <v>6.0000000000000001E-3</v>
      </c>
      <c r="I51" s="71">
        <f>I43*H51</f>
        <v>11.22</v>
      </c>
    </row>
    <row r="52" spans="1:10" ht="12.75" customHeight="1">
      <c r="A52" s="85" t="s">
        <v>110</v>
      </c>
      <c r="B52" s="286" t="s">
        <v>38</v>
      </c>
      <c r="C52" s="286"/>
      <c r="D52" s="286"/>
      <c r="E52" s="286"/>
      <c r="F52" s="286"/>
      <c r="G52" s="286"/>
      <c r="H52" s="50">
        <f>IF('DADOS BÁSICOS 3º ANO'!$B$25="LUCRO PRESUMIDO",'DADOS BÁSICOS 3º ANO'!$B$35,'DADOS BÁSICOS 3º ANO'!$C$35)</f>
        <v>2E-3</v>
      </c>
      <c r="I52" s="71">
        <f>I43*H52</f>
        <v>3.74</v>
      </c>
    </row>
    <row r="53" spans="1:10" ht="12.75" customHeight="1">
      <c r="A53" s="86" t="s">
        <v>111</v>
      </c>
      <c r="B53" s="286" t="s">
        <v>39</v>
      </c>
      <c r="C53" s="286"/>
      <c r="D53" s="286"/>
      <c r="E53" s="286"/>
      <c r="F53" s="286"/>
      <c r="G53" s="286"/>
      <c r="H53" s="50">
        <f>IF('DADOS BÁSICOS 3º ANO'!$B$25="LUCRO PRESUMIDO",'DADOS BÁSICOS 3º ANO'!$B$36,'DADOS BÁSICOS 3º ANO'!$C$36)</f>
        <v>0.08</v>
      </c>
      <c r="I53" s="71">
        <f>I43*H53</f>
        <v>149.63</v>
      </c>
    </row>
    <row r="54" spans="1:10" ht="18.75" customHeight="1">
      <c r="A54" s="287" t="s">
        <v>85</v>
      </c>
      <c r="B54" s="287"/>
      <c r="C54" s="287"/>
      <c r="D54" s="287"/>
      <c r="E54" s="287"/>
      <c r="F54" s="287"/>
      <c r="G54" s="287"/>
      <c r="H54" s="87">
        <f>SUM(H46:H53)</f>
        <v>0.36799999999999999</v>
      </c>
      <c r="I54" s="80">
        <f t="shared" ref="I54" si="1">SUM(I46:I53)</f>
        <v>688.3</v>
      </c>
    </row>
    <row r="55" spans="1:10" ht="33" customHeight="1">
      <c r="A55" s="88" t="s">
        <v>112</v>
      </c>
      <c r="B55" s="88"/>
      <c r="C55" s="88"/>
      <c r="D55" s="88"/>
      <c r="E55" s="88"/>
      <c r="F55" s="88"/>
      <c r="G55" s="88"/>
      <c r="H55" s="89"/>
      <c r="I55" s="90"/>
    </row>
    <row r="56" spans="1:10" ht="17.25" customHeight="1">
      <c r="A56" s="83" t="s">
        <v>113</v>
      </c>
      <c r="B56" s="316" t="s">
        <v>114</v>
      </c>
      <c r="C56" s="316"/>
      <c r="D56" s="316"/>
      <c r="E56" s="316"/>
      <c r="F56" s="316"/>
      <c r="G56" s="316"/>
      <c r="H56" s="39"/>
      <c r="I56" s="91" t="s">
        <v>79</v>
      </c>
    </row>
    <row r="57" spans="1:10">
      <c r="A57" s="69" t="s">
        <v>58</v>
      </c>
      <c r="B57" s="294" t="s">
        <v>115</v>
      </c>
      <c r="C57" s="294"/>
      <c r="D57" s="294"/>
      <c r="E57" s="294"/>
      <c r="F57" s="294"/>
      <c r="G57" s="294"/>
      <c r="H57" s="92"/>
      <c r="I57" s="317">
        <f>IF((H58*H59)-(I23*H60)&gt;0,((H58*H59)-(I23*H60)),0)</f>
        <v>127.22</v>
      </c>
    </row>
    <row r="58" spans="1:10" ht="24.75" customHeight="1">
      <c r="A58" s="69"/>
      <c r="B58" s="286" t="s">
        <v>116</v>
      </c>
      <c r="C58" s="286"/>
      <c r="D58" s="286"/>
      <c r="E58" s="286"/>
      <c r="F58" s="286"/>
      <c r="G58" s="286"/>
      <c r="H58" s="93">
        <f>'DADOS BÁSICOS 3º ANO'!P8</f>
        <v>4.5</v>
      </c>
      <c r="I58" s="318"/>
    </row>
    <row r="59" spans="1:10" ht="12.75" customHeight="1">
      <c r="A59" s="94"/>
      <c r="B59" s="286" t="s">
        <v>117</v>
      </c>
      <c r="C59" s="286"/>
      <c r="D59" s="286"/>
      <c r="E59" s="286"/>
      <c r="F59" s="286"/>
      <c r="G59" s="286"/>
      <c r="H59" s="95">
        <f>'DADOS BÁSICOS 3º ANO'!$O8</f>
        <v>44</v>
      </c>
      <c r="I59" s="318"/>
    </row>
    <row r="60" spans="1:10" ht="12.75" customHeight="1">
      <c r="A60" s="69"/>
      <c r="B60" s="286" t="s">
        <v>118</v>
      </c>
      <c r="C60" s="286"/>
      <c r="D60" s="286"/>
      <c r="E60" s="286"/>
      <c r="F60" s="286"/>
      <c r="G60" s="286"/>
      <c r="H60" s="96">
        <v>0.06</v>
      </c>
      <c r="I60" s="319"/>
    </row>
    <row r="61" spans="1:10" ht="15" customHeight="1">
      <c r="A61" s="69" t="s">
        <v>60</v>
      </c>
      <c r="B61" s="286" t="s">
        <v>119</v>
      </c>
      <c r="C61" s="286"/>
      <c r="D61" s="286"/>
      <c r="E61" s="286"/>
      <c r="F61" s="286"/>
      <c r="G61" s="286"/>
      <c r="H61" s="97"/>
      <c r="I61" s="313">
        <f>H62-(H62*H64)</f>
        <v>360</v>
      </c>
    </row>
    <row r="62" spans="1:10" ht="15" customHeight="1">
      <c r="A62" s="69"/>
      <c r="B62" s="286" t="s">
        <v>256</v>
      </c>
      <c r="C62" s="286"/>
      <c r="D62" s="286"/>
      <c r="E62" s="286"/>
      <c r="F62" s="286"/>
      <c r="G62" s="286"/>
      <c r="H62" s="98">
        <f>'DADOS BÁSICOS 3º ANO'!I8</f>
        <v>450</v>
      </c>
      <c r="I62" s="314"/>
      <c r="J62" s="99"/>
    </row>
    <row r="63" spans="1:10" ht="15" customHeight="1">
      <c r="A63" s="69"/>
      <c r="B63" s="286" t="s">
        <v>258</v>
      </c>
      <c r="C63" s="286"/>
      <c r="D63" s="286"/>
      <c r="E63" s="286"/>
      <c r="F63" s="286"/>
      <c r="G63" s="286"/>
      <c r="H63" s="100"/>
      <c r="I63" s="314"/>
      <c r="J63" s="99"/>
    </row>
    <row r="64" spans="1:10" ht="15" customHeight="1">
      <c r="A64" s="69"/>
      <c r="B64" s="286" t="s">
        <v>257</v>
      </c>
      <c r="C64" s="286"/>
      <c r="D64" s="286"/>
      <c r="E64" s="286"/>
      <c r="F64" s="286"/>
      <c r="G64" s="286"/>
      <c r="H64" s="101">
        <f>'DADOS BÁSICOS 3º ANO'!$N8</f>
        <v>0.2</v>
      </c>
      <c r="I64" s="315"/>
    </row>
    <row r="65" spans="1:9" ht="17.25" customHeight="1">
      <c r="A65" s="69" t="s">
        <v>62</v>
      </c>
      <c r="B65" s="286" t="str">
        <f>'DADOS BÁSICOS 3º ANO'!$J$7</f>
        <v>Auxílio Saúde</v>
      </c>
      <c r="C65" s="286"/>
      <c r="D65" s="286"/>
      <c r="E65" s="286"/>
      <c r="F65" s="286"/>
      <c r="G65" s="286"/>
      <c r="H65" s="102"/>
      <c r="I65" s="57">
        <f>'DADOS BÁSICOS 3º ANO'!$J$8</f>
        <v>64</v>
      </c>
    </row>
    <row r="66" spans="1:9" ht="16" customHeight="1">
      <c r="A66" s="69" t="s">
        <v>64</v>
      </c>
      <c r="B66" s="286" t="str">
        <f>'DADOS BÁSICOS 3º ANO'!$K$7</f>
        <v>Benefício Familiar</v>
      </c>
      <c r="C66" s="286"/>
      <c r="D66" s="286"/>
      <c r="E66" s="286"/>
      <c r="F66" s="286"/>
      <c r="G66" s="286"/>
      <c r="H66" s="103"/>
      <c r="I66" s="104">
        <f>'DADOS BÁSICOS 3º ANO'!$K$8</f>
        <v>21</v>
      </c>
    </row>
    <row r="67" spans="1:9" ht="15" customHeight="1">
      <c r="A67" s="69" t="s">
        <v>66</v>
      </c>
      <c r="B67" s="286" t="str">
        <f>'DADOS BÁSICOS 3º ANO'!$L$7</f>
        <v>Fundo de Fomação Profissional</v>
      </c>
      <c r="C67" s="286"/>
      <c r="D67" s="286"/>
      <c r="E67" s="286"/>
      <c r="F67" s="286"/>
      <c r="G67" s="286"/>
      <c r="H67" s="102"/>
      <c r="I67" s="104">
        <f>'DADOS BÁSICOS 3º ANO'!$L$8</f>
        <v>21</v>
      </c>
    </row>
    <row r="68" spans="1:9" ht="18" customHeight="1">
      <c r="A68" s="72" t="s">
        <v>84</v>
      </c>
      <c r="B68" s="312" t="s">
        <v>200</v>
      </c>
      <c r="C68" s="312"/>
      <c r="D68" s="312"/>
      <c r="E68" s="312"/>
      <c r="F68" s="312"/>
      <c r="G68" s="312"/>
      <c r="H68" s="105">
        <f>1/12</f>
        <v>8.3299999999999999E-2</v>
      </c>
      <c r="I68" s="107">
        <f>I61*H68</f>
        <v>29.99</v>
      </c>
    </row>
    <row r="69" spans="1:9" ht="18" customHeight="1">
      <c r="A69" s="72" t="s">
        <v>268</v>
      </c>
      <c r="B69" s="312" t="s">
        <v>269</v>
      </c>
      <c r="C69" s="312"/>
      <c r="D69" s="312"/>
      <c r="E69" s="312"/>
      <c r="F69" s="312"/>
      <c r="G69" s="312"/>
      <c r="H69" s="105">
        <f>(1/11)/12</f>
        <v>7.6E-3</v>
      </c>
      <c r="I69" s="107">
        <f>I61*H69</f>
        <v>2.74</v>
      </c>
    </row>
    <row r="70" spans="1:9" ht="18" customHeight="1">
      <c r="A70" s="108" t="s">
        <v>110</v>
      </c>
      <c r="B70" s="297" t="s">
        <v>201</v>
      </c>
      <c r="C70" s="297"/>
      <c r="D70" s="297"/>
      <c r="E70" s="297"/>
      <c r="F70" s="297"/>
      <c r="G70" s="297"/>
      <c r="H70" s="109">
        <f>((H11/11)/12)/H11</f>
        <v>7.6E-3</v>
      </c>
      <c r="I70" s="225">
        <f>I61*H70</f>
        <v>2.74</v>
      </c>
    </row>
    <row r="71" spans="1:9" ht="18" customHeight="1">
      <c r="A71" s="76" t="s">
        <v>111</v>
      </c>
      <c r="B71" s="310" t="s">
        <v>202</v>
      </c>
      <c r="C71" s="310"/>
      <c r="D71" s="310"/>
      <c r="E71" s="310"/>
      <c r="F71" s="310"/>
      <c r="G71" s="310"/>
      <c r="H71" s="111">
        <f>(H$11/11)/H$11</f>
        <v>9.0899999999999995E-2</v>
      </c>
      <c r="I71" s="226">
        <f>I65*H71</f>
        <v>5.82</v>
      </c>
    </row>
    <row r="72" spans="1:9" ht="18" customHeight="1">
      <c r="A72" s="76" t="s">
        <v>198</v>
      </c>
      <c r="B72" s="310" t="s">
        <v>203</v>
      </c>
      <c r="C72" s="310"/>
      <c r="D72" s="310"/>
      <c r="E72" s="310"/>
      <c r="F72" s="310"/>
      <c r="G72" s="310"/>
      <c r="H72" s="111">
        <f t="shared" ref="H72:H73" si="2">(H$11/11)/H$11</f>
        <v>9.0899999999999995E-2</v>
      </c>
      <c r="I72" s="226">
        <f>I66*H72</f>
        <v>1.91</v>
      </c>
    </row>
    <row r="73" spans="1:9" ht="18" customHeight="1">
      <c r="A73" s="76" t="s">
        <v>199</v>
      </c>
      <c r="B73" s="310" t="s">
        <v>204</v>
      </c>
      <c r="C73" s="310"/>
      <c r="D73" s="310"/>
      <c r="E73" s="310"/>
      <c r="F73" s="310"/>
      <c r="G73" s="310"/>
      <c r="H73" s="111">
        <f t="shared" si="2"/>
        <v>9.0899999999999995E-2</v>
      </c>
      <c r="I73" s="226">
        <f>I67*H73</f>
        <v>1.91</v>
      </c>
    </row>
    <row r="74" spans="1:9" ht="19.5" customHeight="1">
      <c r="A74" s="287" t="s">
        <v>85</v>
      </c>
      <c r="B74" s="287"/>
      <c r="C74" s="287"/>
      <c r="D74" s="287"/>
      <c r="E74" s="287"/>
      <c r="F74" s="287"/>
      <c r="G74" s="287"/>
      <c r="H74" s="113"/>
      <c r="I74" s="80">
        <f>SUM(I57:I73)</f>
        <v>638.33000000000004</v>
      </c>
    </row>
    <row r="75" spans="1:9" ht="30.75" customHeight="1">
      <c r="A75" s="37" t="s">
        <v>120</v>
      </c>
      <c r="B75" s="63"/>
      <c r="C75" s="63"/>
      <c r="D75" s="63"/>
      <c r="E75" s="63"/>
      <c r="F75" s="63"/>
      <c r="G75" s="63"/>
      <c r="H75" s="64"/>
      <c r="I75" s="65"/>
    </row>
    <row r="76" spans="1:9" ht="20.25" customHeight="1">
      <c r="A76" s="114">
        <v>2</v>
      </c>
      <c r="B76" s="311" t="s">
        <v>121</v>
      </c>
      <c r="C76" s="311"/>
      <c r="D76" s="311"/>
      <c r="E76" s="311"/>
      <c r="F76" s="311"/>
      <c r="G76" s="311"/>
      <c r="H76" s="115"/>
      <c r="I76" s="116" t="s">
        <v>79</v>
      </c>
    </row>
    <row r="77" spans="1:9" ht="12.75" customHeight="1">
      <c r="A77" s="69" t="s">
        <v>87</v>
      </c>
      <c r="B77" s="286" t="s">
        <v>88</v>
      </c>
      <c r="C77" s="286"/>
      <c r="D77" s="286"/>
      <c r="E77" s="286"/>
      <c r="F77" s="286"/>
      <c r="G77" s="286"/>
      <c r="H77" s="48"/>
      <c r="I77" s="71">
        <f>I40</f>
        <v>336.89</v>
      </c>
    </row>
    <row r="78" spans="1:9" ht="12.75" customHeight="1">
      <c r="A78" s="69" t="s">
        <v>106</v>
      </c>
      <c r="B78" s="286" t="s">
        <v>107</v>
      </c>
      <c r="C78" s="286"/>
      <c r="D78" s="286"/>
      <c r="E78" s="286"/>
      <c r="F78" s="286"/>
      <c r="G78" s="286"/>
      <c r="H78" s="48"/>
      <c r="I78" s="71">
        <f>I54</f>
        <v>688.3</v>
      </c>
    </row>
    <row r="79" spans="1:9" ht="12.75" customHeight="1">
      <c r="A79" s="69" t="s">
        <v>113</v>
      </c>
      <c r="B79" s="286" t="s">
        <v>114</v>
      </c>
      <c r="C79" s="286"/>
      <c r="D79" s="286"/>
      <c r="E79" s="286"/>
      <c r="F79" s="286"/>
      <c r="G79" s="286"/>
      <c r="H79" s="48"/>
      <c r="I79" s="71">
        <f>I74</f>
        <v>638.33000000000004</v>
      </c>
    </row>
    <row r="80" spans="1:9">
      <c r="A80" s="304" t="s">
        <v>85</v>
      </c>
      <c r="B80" s="304"/>
      <c r="C80" s="304"/>
      <c r="D80" s="304"/>
      <c r="E80" s="304"/>
      <c r="F80" s="304"/>
      <c r="G80" s="304"/>
      <c r="H80" s="117"/>
      <c r="I80" s="82">
        <f>SUM(I77:I79)</f>
        <v>1663.52</v>
      </c>
    </row>
    <row r="81" spans="1:9" ht="26.25" customHeight="1">
      <c r="A81" s="37" t="s">
        <v>122</v>
      </c>
      <c r="B81" s="118"/>
      <c r="C81" s="118"/>
      <c r="D81" s="118"/>
      <c r="E81" s="118"/>
      <c r="F81" s="118"/>
      <c r="G81" s="118"/>
      <c r="H81" s="64"/>
      <c r="I81" s="65"/>
    </row>
    <row r="82" spans="1:9" ht="26.25" customHeight="1">
      <c r="A82" s="119">
        <v>3</v>
      </c>
      <c r="B82" s="305" t="s">
        <v>123</v>
      </c>
      <c r="C82" s="305"/>
      <c r="D82" s="305"/>
      <c r="E82" s="305"/>
      <c r="F82" s="305"/>
      <c r="G82" s="305"/>
      <c r="H82" s="120" t="s">
        <v>89</v>
      </c>
      <c r="I82" s="47" t="s">
        <v>79</v>
      </c>
    </row>
    <row r="83" spans="1:9">
      <c r="A83" s="121" t="s">
        <v>58</v>
      </c>
      <c r="B83" s="306" t="s">
        <v>124</v>
      </c>
      <c r="C83" s="307"/>
      <c r="D83" s="307"/>
      <c r="E83" s="307"/>
      <c r="F83" s="307"/>
      <c r="G83" s="308"/>
      <c r="H83" s="122">
        <f>((100%/12)*'DADOS BÁSICOS 3º ANO'!$Q8)/10</f>
        <v>2.8E-3</v>
      </c>
      <c r="I83" s="123">
        <f>H83*I$43</f>
        <v>5.24</v>
      </c>
    </row>
    <row r="84" spans="1:9">
      <c r="A84" s="69" t="s">
        <v>60</v>
      </c>
      <c r="B84" s="294" t="s">
        <v>125</v>
      </c>
      <c r="C84" s="294"/>
      <c r="D84" s="294"/>
      <c r="E84" s="294"/>
      <c r="F84" s="294"/>
      <c r="G84" s="294"/>
      <c r="H84" s="124">
        <v>0.08</v>
      </c>
      <c r="I84" s="125">
        <f>I83*H84</f>
        <v>0.42</v>
      </c>
    </row>
    <row r="85" spans="1:9" ht="12.75" customHeight="1">
      <c r="A85" s="126" t="s">
        <v>62</v>
      </c>
      <c r="B85" s="302" t="s">
        <v>126</v>
      </c>
      <c r="C85" s="303"/>
      <c r="D85" s="303"/>
      <c r="E85" s="303"/>
      <c r="F85" s="303"/>
      <c r="G85" s="284"/>
      <c r="H85" s="127">
        <f>8%*40%*'DADOS BÁSICOS 3º ANO'!$Q8</f>
        <v>1.0800000000000001E-2</v>
      </c>
      <c r="I85" s="125">
        <f>I$43*H85</f>
        <v>20.2</v>
      </c>
    </row>
    <row r="86" spans="1:9" ht="17.25" customHeight="1">
      <c r="A86" s="128" t="s">
        <v>64</v>
      </c>
      <c r="B86" s="309" t="s">
        <v>127</v>
      </c>
      <c r="C86" s="309"/>
      <c r="D86" s="309"/>
      <c r="E86" s="309"/>
      <c r="F86" s="309"/>
      <c r="G86" s="309"/>
      <c r="H86" s="247">
        <f>((7/30)/12)/10</f>
        <v>1.944E-3</v>
      </c>
      <c r="I86" s="248">
        <f>H86*I$43</f>
        <v>3.64</v>
      </c>
    </row>
    <row r="87" spans="1:9">
      <c r="A87" s="69" t="s">
        <v>66</v>
      </c>
      <c r="B87" s="294" t="s">
        <v>128</v>
      </c>
      <c r="C87" s="294"/>
      <c r="D87" s="294"/>
      <c r="E87" s="294"/>
      <c r="F87" s="294"/>
      <c r="G87" s="294"/>
      <c r="H87" s="124">
        <f>H54</f>
        <v>0.36799999999999999</v>
      </c>
      <c r="I87" s="131">
        <f>H87*I86</f>
        <v>1.34</v>
      </c>
    </row>
    <row r="88" spans="1:9" ht="12.75" customHeight="1">
      <c r="A88" s="126" t="s">
        <v>84</v>
      </c>
      <c r="B88" s="302" t="s">
        <v>129</v>
      </c>
      <c r="C88" s="303"/>
      <c r="D88" s="303"/>
      <c r="E88" s="303"/>
      <c r="F88" s="303"/>
      <c r="G88" s="284"/>
      <c r="H88" s="127">
        <f>8%*40%*'DADOS BÁSICOS 3º ANO'!$R8</f>
        <v>1.0800000000000001E-2</v>
      </c>
      <c r="I88" s="125">
        <f>I43*H88</f>
        <v>20.2</v>
      </c>
    </row>
    <row r="89" spans="1:9">
      <c r="A89" s="287" t="s">
        <v>85</v>
      </c>
      <c r="B89" s="287"/>
      <c r="C89" s="287"/>
      <c r="D89" s="287"/>
      <c r="E89" s="287"/>
      <c r="F89" s="287"/>
      <c r="G89" s="287"/>
      <c r="H89" s="113"/>
      <c r="I89" s="80">
        <f>SUM(I83:I88)</f>
        <v>51.04</v>
      </c>
    </row>
    <row r="90" spans="1:9">
      <c r="A90" s="304" t="s">
        <v>130</v>
      </c>
      <c r="B90" s="304"/>
      <c r="C90" s="304"/>
      <c r="D90" s="304"/>
      <c r="E90" s="304"/>
      <c r="F90" s="304"/>
      <c r="G90" s="304"/>
      <c r="H90" s="132" t="s">
        <v>93</v>
      </c>
      <c r="I90" s="133">
        <f>I29</f>
        <v>1533.52</v>
      </c>
    </row>
    <row r="91" spans="1:9">
      <c r="A91" s="304"/>
      <c r="B91" s="304"/>
      <c r="C91" s="304"/>
      <c r="D91" s="304"/>
      <c r="E91" s="304"/>
      <c r="F91" s="304"/>
      <c r="G91" s="304"/>
      <c r="H91" s="132" t="s">
        <v>94</v>
      </c>
      <c r="I91" s="133">
        <f>I80</f>
        <v>1663.52</v>
      </c>
    </row>
    <row r="92" spans="1:9">
      <c r="A92" s="304"/>
      <c r="B92" s="304"/>
      <c r="C92" s="304"/>
      <c r="D92" s="304"/>
      <c r="E92" s="304"/>
      <c r="F92" s="304"/>
      <c r="G92" s="304"/>
      <c r="H92" s="132" t="s">
        <v>95</v>
      </c>
      <c r="I92" s="133">
        <f>I89</f>
        <v>51.04</v>
      </c>
    </row>
    <row r="93" spans="1:9">
      <c r="A93" s="304"/>
      <c r="B93" s="304"/>
      <c r="C93" s="304"/>
      <c r="D93" s="304"/>
      <c r="E93" s="304"/>
      <c r="F93" s="304"/>
      <c r="G93" s="304"/>
      <c r="H93" s="132" t="s">
        <v>85</v>
      </c>
      <c r="I93" s="133">
        <f>SUM(I90:I92)</f>
        <v>3248.08</v>
      </c>
    </row>
    <row r="94" spans="1:9" ht="26.25" customHeight="1">
      <c r="A94" s="37" t="s">
        <v>131</v>
      </c>
      <c r="B94" s="134"/>
      <c r="C94" s="134"/>
      <c r="D94" s="134"/>
      <c r="E94" s="134"/>
      <c r="F94" s="134"/>
      <c r="G94" s="134"/>
      <c r="H94" s="135"/>
      <c r="I94" s="136"/>
    </row>
    <row r="95" spans="1:9" s="137" customFormat="1" ht="63.75" customHeight="1">
      <c r="A95" s="138" t="s">
        <v>132</v>
      </c>
      <c r="B95" s="63" t="s">
        <v>133</v>
      </c>
      <c r="C95" s="63"/>
      <c r="D95" s="63"/>
      <c r="E95" s="63"/>
      <c r="F95" s="63"/>
      <c r="G95" s="63"/>
      <c r="H95" s="67" t="s">
        <v>134</v>
      </c>
      <c r="I95" s="68" t="s">
        <v>79</v>
      </c>
    </row>
    <row r="96" spans="1:9" s="137" customFormat="1" ht="16.5" customHeight="1">
      <c r="A96" s="69" t="s">
        <v>58</v>
      </c>
      <c r="B96" s="301" t="s">
        <v>135</v>
      </c>
      <c r="C96" s="301"/>
      <c r="D96" s="301"/>
      <c r="E96" s="301"/>
      <c r="F96" s="301"/>
      <c r="G96" s="301"/>
      <c r="H96" s="139">
        <f>'DADOS BÁSICOS 3º ANO'!$H$59</f>
        <v>4.8734000000000002</v>
      </c>
      <c r="I96" s="71">
        <f>SUM(I97:I104)</f>
        <v>43.98</v>
      </c>
    </row>
    <row r="97" spans="1:9" s="137" customFormat="1" ht="16.5" customHeight="1">
      <c r="A97" s="140" t="s">
        <v>219</v>
      </c>
      <c r="B97" s="300" t="s">
        <v>211</v>
      </c>
      <c r="C97" s="300"/>
      <c r="D97" s="300"/>
      <c r="E97" s="300"/>
      <c r="F97" s="300"/>
      <c r="G97" s="300"/>
      <c r="H97" s="139">
        <f>'DADOS BÁSICOS 3º ANO'!$H$60</f>
        <v>1</v>
      </c>
      <c r="I97" s="141">
        <f>((I$93/30)*H97)/H$10</f>
        <v>9.02</v>
      </c>
    </row>
    <row r="98" spans="1:9" s="137" customFormat="1" ht="16.5" customHeight="1">
      <c r="A98" s="140" t="s">
        <v>221</v>
      </c>
      <c r="B98" s="300" t="s">
        <v>212</v>
      </c>
      <c r="C98" s="300"/>
      <c r="D98" s="300"/>
      <c r="E98" s="300"/>
      <c r="F98" s="300"/>
      <c r="G98" s="300"/>
      <c r="H98" s="139">
        <f>'DADOS BÁSICOS 3º ANO'!$H$61</f>
        <v>3.4929999999999999</v>
      </c>
      <c r="I98" s="141">
        <f>((I$93/30)*H98)/H$10</f>
        <v>31.52</v>
      </c>
    </row>
    <row r="99" spans="1:9" s="137" customFormat="1" ht="16.5" customHeight="1">
      <c r="A99" s="140" t="s">
        <v>222</v>
      </c>
      <c r="B99" s="300" t="s">
        <v>213</v>
      </c>
      <c r="C99" s="300"/>
      <c r="D99" s="300"/>
      <c r="E99" s="300"/>
      <c r="F99" s="300"/>
      <c r="G99" s="300"/>
      <c r="H99" s="139">
        <f>'DADOS BÁSICOS 3º ANO'!$H$62</f>
        <v>0.26879999999999998</v>
      </c>
      <c r="I99" s="141">
        <f t="shared" ref="I99:I108" si="3">(I$93/30)*(H99/H$10)</f>
        <v>2.4300000000000002</v>
      </c>
    </row>
    <row r="100" spans="1:9" s="137" customFormat="1" ht="16.5" customHeight="1">
      <c r="A100" s="140" t="s">
        <v>228</v>
      </c>
      <c r="B100" s="300" t="s">
        <v>214</v>
      </c>
      <c r="C100" s="300"/>
      <c r="D100" s="300"/>
      <c r="E100" s="300"/>
      <c r="F100" s="300"/>
      <c r="G100" s="300"/>
      <c r="H100" s="139">
        <f>'DADOS BÁSICOS 3º ANO'!$H$63</f>
        <v>4.2599999999999999E-2</v>
      </c>
      <c r="I100" s="141">
        <f t="shared" si="3"/>
        <v>0.38</v>
      </c>
    </row>
    <row r="101" spans="1:9" s="137" customFormat="1">
      <c r="A101" s="140" t="s">
        <v>229</v>
      </c>
      <c r="B101" s="300" t="s">
        <v>215</v>
      </c>
      <c r="C101" s="300"/>
      <c r="D101" s="300"/>
      <c r="E101" s="300"/>
      <c r="F101" s="300"/>
      <c r="G101" s="300"/>
      <c r="H101" s="139">
        <f>'DADOS BÁSICOS 3º ANO'!$H$64</f>
        <v>3.5400000000000001E-2</v>
      </c>
      <c r="I101" s="141">
        <f t="shared" si="3"/>
        <v>0.32</v>
      </c>
    </row>
    <row r="102" spans="1:9" ht="16.5" customHeight="1">
      <c r="A102" s="140" t="s">
        <v>230</v>
      </c>
      <c r="B102" s="300" t="s">
        <v>216</v>
      </c>
      <c r="C102" s="300"/>
      <c r="D102" s="300"/>
      <c r="E102" s="300"/>
      <c r="F102" s="300"/>
      <c r="G102" s="300"/>
      <c r="H102" s="139">
        <f>'DADOS BÁSICOS 3º ANO'!$H$65</f>
        <v>0.02</v>
      </c>
      <c r="I102" s="141">
        <f t="shared" si="3"/>
        <v>0.18</v>
      </c>
    </row>
    <row r="103" spans="1:9" ht="16.5" customHeight="1">
      <c r="A103" s="140" t="s">
        <v>231</v>
      </c>
      <c r="B103" s="300" t="s">
        <v>217</v>
      </c>
      <c r="C103" s="300"/>
      <c r="D103" s="300"/>
      <c r="E103" s="300"/>
      <c r="F103" s="300"/>
      <c r="G103" s="300"/>
      <c r="H103" s="139">
        <f>'DADOS BÁSICOS 3º ANO'!$H$66</f>
        <v>4.0000000000000001E-3</v>
      </c>
      <c r="I103" s="141">
        <f t="shared" si="3"/>
        <v>0.04</v>
      </c>
    </row>
    <row r="104" spans="1:9" ht="16.5" customHeight="1">
      <c r="A104" s="140" t="s">
        <v>232</v>
      </c>
      <c r="B104" s="300" t="s">
        <v>218</v>
      </c>
      <c r="C104" s="300"/>
      <c r="D104" s="300"/>
      <c r="E104" s="300"/>
      <c r="F104" s="300"/>
      <c r="G104" s="300"/>
      <c r="H104" s="139">
        <f>'DADOS BÁSICOS 3º ANO'!$H$67</f>
        <v>9.5999999999999992E-3</v>
      </c>
      <c r="I104" s="141">
        <f t="shared" si="3"/>
        <v>0.09</v>
      </c>
    </row>
    <row r="105" spans="1:9" ht="16.5" customHeight="1">
      <c r="A105" s="69" t="s">
        <v>60</v>
      </c>
      <c r="B105" s="301" t="s">
        <v>136</v>
      </c>
      <c r="C105" s="301"/>
      <c r="D105" s="301"/>
      <c r="E105" s="301"/>
      <c r="F105" s="301"/>
      <c r="G105" s="301"/>
      <c r="H105" s="139">
        <f>'DADOS BÁSICOS 3º ANO'!$H$68</f>
        <v>0.19980000000000001</v>
      </c>
      <c r="I105" s="71">
        <f t="shared" si="3"/>
        <v>1.8</v>
      </c>
    </row>
    <row r="106" spans="1:9" ht="16.5" customHeight="1">
      <c r="A106" s="69" t="s">
        <v>62</v>
      </c>
      <c r="B106" s="301" t="s">
        <v>137</v>
      </c>
      <c r="C106" s="301"/>
      <c r="D106" s="301"/>
      <c r="E106" s="301"/>
      <c r="F106" s="301"/>
      <c r="G106" s="301"/>
      <c r="H106" s="139">
        <f>'DADOS BÁSICOS 3º ANO'!$H$69</f>
        <v>0.96619999999999995</v>
      </c>
      <c r="I106" s="71">
        <f t="shared" si="3"/>
        <v>8.7200000000000006</v>
      </c>
    </row>
    <row r="107" spans="1:9" ht="16.5" customHeight="1">
      <c r="A107" s="69" t="s">
        <v>64</v>
      </c>
      <c r="B107" s="301" t="s">
        <v>138</v>
      </c>
      <c r="C107" s="301"/>
      <c r="D107" s="301"/>
      <c r="E107" s="301"/>
      <c r="F107" s="301"/>
      <c r="G107" s="301"/>
      <c r="H107" s="139">
        <f>'DADOS BÁSICOS 3º ANO'!$H$70</f>
        <v>2.4771999999999998</v>
      </c>
      <c r="I107" s="71">
        <f t="shared" si="3"/>
        <v>22.35</v>
      </c>
    </row>
    <row r="108" spans="1:9" ht="16.5" customHeight="1">
      <c r="A108" s="41" t="s">
        <v>66</v>
      </c>
      <c r="B108" s="301" t="s">
        <v>139</v>
      </c>
      <c r="C108" s="301"/>
      <c r="D108" s="301"/>
      <c r="E108" s="301"/>
      <c r="F108" s="301"/>
      <c r="G108" s="301"/>
      <c r="H108" s="139">
        <f>'DADOS BÁSICOS 3º ANO'!$H$71</f>
        <v>0</v>
      </c>
      <c r="I108" s="71">
        <f t="shared" si="3"/>
        <v>0</v>
      </c>
    </row>
    <row r="109" spans="1:9">
      <c r="A109" s="287" t="s">
        <v>85</v>
      </c>
      <c r="B109" s="287"/>
      <c r="C109" s="287"/>
      <c r="D109" s="287"/>
      <c r="E109" s="287"/>
      <c r="F109" s="287"/>
      <c r="G109" s="287"/>
      <c r="H109" s="142">
        <f>H96+H105+H106+H107+H108</f>
        <v>8.5166000000000004</v>
      </c>
      <c r="I109" s="80">
        <f>I96+I105+I106+I107+I108</f>
        <v>76.849999999999994</v>
      </c>
    </row>
    <row r="110" spans="1:9">
      <c r="A110" s="143" t="s">
        <v>140</v>
      </c>
      <c r="B110" s="290" t="s">
        <v>141</v>
      </c>
      <c r="C110" s="290"/>
      <c r="D110" s="290"/>
      <c r="E110" s="290"/>
      <c r="F110" s="290"/>
      <c r="G110" s="290"/>
      <c r="H110" s="144"/>
      <c r="I110" s="145" t="s">
        <v>79</v>
      </c>
    </row>
    <row r="111" spans="1:9" ht="16.5" customHeight="1">
      <c r="A111" s="69" t="s">
        <v>58</v>
      </c>
      <c r="B111" s="286" t="s">
        <v>142</v>
      </c>
      <c r="C111" s="286"/>
      <c r="D111" s="286"/>
      <c r="E111" s="286"/>
      <c r="F111" s="286"/>
      <c r="G111" s="286"/>
      <c r="H111" s="48"/>
      <c r="I111" s="146">
        <v>0</v>
      </c>
    </row>
    <row r="112" spans="1:9" ht="14.25" customHeight="1">
      <c r="A112" s="287" t="s">
        <v>85</v>
      </c>
      <c r="B112" s="287"/>
      <c r="C112" s="287"/>
      <c r="D112" s="287"/>
      <c r="E112" s="287"/>
      <c r="F112" s="287"/>
      <c r="G112" s="287"/>
      <c r="H112" s="113"/>
      <c r="I112" s="147">
        <f>SUM(I111:I111)</f>
        <v>0</v>
      </c>
    </row>
    <row r="113" spans="1:9">
      <c r="A113" s="37" t="s">
        <v>143</v>
      </c>
      <c r="B113" s="63"/>
      <c r="C113" s="63"/>
      <c r="D113" s="63"/>
      <c r="E113" s="63"/>
      <c r="F113" s="63"/>
      <c r="G113" s="63"/>
      <c r="H113" s="64"/>
      <c r="I113" s="65"/>
    </row>
    <row r="114" spans="1:9" ht="16.5" customHeight="1">
      <c r="A114" s="66">
        <v>4</v>
      </c>
      <c r="B114" s="288" t="s">
        <v>144</v>
      </c>
      <c r="C114" s="288"/>
      <c r="D114" s="288"/>
      <c r="E114" s="288"/>
      <c r="F114" s="288"/>
      <c r="G114" s="288"/>
      <c r="H114" s="148"/>
      <c r="I114" s="68" t="s">
        <v>79</v>
      </c>
    </row>
    <row r="115" spans="1:9" ht="16.5" customHeight="1">
      <c r="A115" s="85" t="s">
        <v>132</v>
      </c>
      <c r="B115" s="284" t="s">
        <v>133</v>
      </c>
      <c r="C115" s="284"/>
      <c r="D115" s="284"/>
      <c r="E115" s="284"/>
      <c r="F115" s="284"/>
      <c r="G115" s="284"/>
      <c r="H115" s="149"/>
      <c r="I115" s="71">
        <f>I109</f>
        <v>76.849999999999994</v>
      </c>
    </row>
    <row r="116" spans="1:9" ht="16.5" customHeight="1">
      <c r="A116" s="85" t="s">
        <v>140</v>
      </c>
      <c r="B116" s="299" t="s">
        <v>145</v>
      </c>
      <c r="C116" s="299"/>
      <c r="D116" s="299"/>
      <c r="E116" s="299"/>
      <c r="F116" s="299"/>
      <c r="G116" s="299"/>
      <c r="H116" s="150"/>
      <c r="I116" s="71">
        <f>I112</f>
        <v>0</v>
      </c>
    </row>
    <row r="117" spans="1:9">
      <c r="A117" s="298" t="s">
        <v>85</v>
      </c>
      <c r="B117" s="298"/>
      <c r="C117" s="298"/>
      <c r="D117" s="298"/>
      <c r="E117" s="298"/>
      <c r="F117" s="298"/>
      <c r="G117" s="298"/>
      <c r="H117" s="151"/>
      <c r="I117" s="80">
        <f>SUM(I115:I116)</f>
        <v>76.849999999999994</v>
      </c>
    </row>
    <row r="118" spans="1:9" ht="24" customHeight="1">
      <c r="A118" s="37" t="s">
        <v>146</v>
      </c>
      <c r="B118" s="38"/>
      <c r="C118" s="38"/>
      <c r="D118" s="38"/>
      <c r="E118" s="38"/>
      <c r="F118" s="38"/>
      <c r="G118" s="38"/>
      <c r="H118" s="39"/>
      <c r="I118" s="40"/>
    </row>
    <row r="119" spans="1:9" ht="16.5" customHeight="1">
      <c r="A119" s="66">
        <v>5</v>
      </c>
      <c r="B119" s="288" t="s">
        <v>147</v>
      </c>
      <c r="C119" s="288"/>
      <c r="D119" s="288"/>
      <c r="E119" s="288"/>
      <c r="F119" s="288"/>
      <c r="G119" s="288"/>
      <c r="H119" s="148"/>
      <c r="I119" s="68" t="s">
        <v>79</v>
      </c>
    </row>
    <row r="120" spans="1:9">
      <c r="A120" s="154" t="s">
        <v>58</v>
      </c>
      <c r="B120" s="295" t="s">
        <v>40</v>
      </c>
      <c r="C120" s="295"/>
      <c r="D120" s="295"/>
      <c r="E120" s="295"/>
      <c r="F120" s="295"/>
      <c r="G120" s="295"/>
      <c r="H120" s="149"/>
      <c r="I120" s="71">
        <f>SUM(I121:I123)</f>
        <v>71.23</v>
      </c>
    </row>
    <row r="121" spans="1:9" ht="16.5" customHeight="1">
      <c r="A121" s="155" t="s">
        <v>219</v>
      </c>
      <c r="B121" s="286" t="s">
        <v>220</v>
      </c>
      <c r="C121" s="286"/>
      <c r="D121" s="286"/>
      <c r="E121" s="286"/>
      <c r="F121" s="286"/>
      <c r="G121" s="286"/>
      <c r="H121" s="149"/>
      <c r="I121" s="71">
        <f>'DADOS BÁSICOS 3º ANO'!$D$46</f>
        <v>35.61</v>
      </c>
    </row>
    <row r="122" spans="1:9" ht="16.5" customHeight="1">
      <c r="A122" s="158" t="s">
        <v>221</v>
      </c>
      <c r="B122" s="296" t="s">
        <v>223</v>
      </c>
      <c r="C122" s="296"/>
      <c r="D122" s="296"/>
      <c r="E122" s="296"/>
      <c r="F122" s="296"/>
      <c r="G122" s="296"/>
      <c r="H122" s="159">
        <f>(ROUNDUP(((H109*H11)/(365*0.6986)),0))/H11</f>
        <v>0.5</v>
      </c>
      <c r="I122" s="249">
        <f>'DADOS BÁSICOS 3º ANO'!$D$46*H122</f>
        <v>17.809999999999999</v>
      </c>
    </row>
    <row r="123" spans="1:9" ht="16.5" customHeight="1">
      <c r="A123" s="108" t="s">
        <v>222</v>
      </c>
      <c r="B123" s="297" t="s">
        <v>209</v>
      </c>
      <c r="C123" s="297"/>
      <c r="D123" s="297"/>
      <c r="E123" s="297"/>
      <c r="F123" s="297"/>
      <c r="G123" s="297"/>
      <c r="H123" s="161">
        <f>((ROUNDUP((H11/11),0))/H11)</f>
        <v>0.5</v>
      </c>
      <c r="I123" s="250">
        <f>'DADOS BÁSICOS 3º ANO'!$D$46*H123</f>
        <v>17.809999999999999</v>
      </c>
    </row>
    <row r="124" spans="1:9" ht="12.75" customHeight="1">
      <c r="A124" s="154" t="s">
        <v>60</v>
      </c>
      <c r="B124" s="295" t="s">
        <v>44</v>
      </c>
      <c r="C124" s="295"/>
      <c r="D124" s="295"/>
      <c r="E124" s="295"/>
      <c r="F124" s="295"/>
      <c r="G124" s="295"/>
      <c r="H124" s="149"/>
      <c r="I124" s="163">
        <f>'DADOS BÁSICOS 3º ANO'!$D$50/H10</f>
        <v>0</v>
      </c>
    </row>
    <row r="125" spans="1:9" ht="12.75" customHeight="1">
      <c r="A125" s="154" t="s">
        <v>62</v>
      </c>
      <c r="B125" s="295" t="s">
        <v>47</v>
      </c>
      <c r="C125" s="295"/>
      <c r="D125" s="295"/>
      <c r="E125" s="295"/>
      <c r="F125" s="295"/>
      <c r="G125" s="295"/>
      <c r="H125" s="149"/>
      <c r="I125" s="163">
        <f>SUM(I126:I128)</f>
        <v>0.24</v>
      </c>
    </row>
    <row r="126" spans="1:9" ht="12.75" customHeight="1">
      <c r="A126" s="69" t="s">
        <v>224</v>
      </c>
      <c r="B126" s="286" t="s">
        <v>226</v>
      </c>
      <c r="C126" s="286"/>
      <c r="D126" s="286"/>
      <c r="E126" s="286"/>
      <c r="F126" s="286"/>
      <c r="G126" s="286"/>
      <c r="H126" s="149"/>
      <c r="I126" s="163">
        <f>('DADOS BÁSICOS 3º ANO'!$G$54/'DADOS BÁSICOS 3º ANO'!$C$54)/(H$11+'RECEPÇÃO 3º ANO'!$H$11)</f>
        <v>0.28999999999999998</v>
      </c>
    </row>
    <row r="127" spans="1:9" ht="16.5" customHeight="1">
      <c r="A127" s="158" t="s">
        <v>225</v>
      </c>
      <c r="B127" s="296" t="s">
        <v>227</v>
      </c>
      <c r="C127" s="296"/>
      <c r="D127" s="296"/>
      <c r="E127" s="296"/>
      <c r="F127" s="296"/>
      <c r="G127" s="296"/>
      <c r="H127" s="159"/>
      <c r="I127" s="165">
        <f>(('DADOS BÁSICOS LICITAÇÃO'!$G$54/'DADOS BÁSICOS LICITAÇÃO'!$C$54)/(H$11+'RECEPÇÃO 3º ANO'!$H$11+(ROUNDUP(((H109*H11)/(365*0.6986)),0)+(ROUNDUP((('RECEPÇÃO 3º ANO'!H109*'RECEPÇÃO 3º ANO'!H11)/(365*0.6986)),0))))-I126)</f>
        <v>-0.02</v>
      </c>
    </row>
    <row r="128" spans="1:9" ht="19.5" customHeight="1">
      <c r="A128" s="108" t="s">
        <v>225</v>
      </c>
      <c r="B128" s="297" t="s">
        <v>210</v>
      </c>
      <c r="C128" s="297"/>
      <c r="D128" s="297"/>
      <c r="E128" s="297"/>
      <c r="F128" s="297"/>
      <c r="G128" s="297"/>
      <c r="H128" s="161"/>
      <c r="I128" s="251">
        <f>(('DADOS BÁSICOS 3º ANO'!$G$54/'DADOS BÁSICOS 3º ANO'!$C$54)/(H$11+'RECEPÇÃO 3º ANO'!$H$11+ROUNDUP((H11/11),0)+ROUNDUP(('RECEPÇÃO 3º ANO'!H11/11),0)))-I126</f>
        <v>-0.03</v>
      </c>
    </row>
    <row r="129" spans="1:9" ht="12.75" customHeight="1">
      <c r="A129" s="287" t="s">
        <v>85</v>
      </c>
      <c r="B129" s="287"/>
      <c r="C129" s="287"/>
      <c r="D129" s="287"/>
      <c r="E129" s="287"/>
      <c r="F129" s="287"/>
      <c r="G129" s="287"/>
      <c r="H129" s="113"/>
      <c r="I129" s="167">
        <f>I120+I124+I125</f>
        <v>71.47</v>
      </c>
    </row>
    <row r="130" spans="1:9" ht="12.75" customHeight="1">
      <c r="A130" s="289" t="s">
        <v>148</v>
      </c>
      <c r="B130" s="289"/>
      <c r="C130" s="289"/>
      <c r="D130" s="289"/>
      <c r="E130" s="289"/>
      <c r="F130" s="289"/>
      <c r="G130" s="289"/>
      <c r="H130" s="132" t="s">
        <v>93</v>
      </c>
      <c r="I130" s="168">
        <f>I29</f>
        <v>1533.52</v>
      </c>
    </row>
    <row r="131" spans="1:9" ht="16.5" customHeight="1">
      <c r="A131" s="289"/>
      <c r="B131" s="289"/>
      <c r="C131" s="289"/>
      <c r="D131" s="289"/>
      <c r="E131" s="289"/>
      <c r="F131" s="289"/>
      <c r="G131" s="289"/>
      <c r="H131" s="132" t="s">
        <v>94</v>
      </c>
      <c r="I131" s="168">
        <f>I80</f>
        <v>1663.52</v>
      </c>
    </row>
    <row r="132" spans="1:9" ht="12.75" customHeight="1">
      <c r="A132" s="289"/>
      <c r="B132" s="289"/>
      <c r="C132" s="289"/>
      <c r="D132" s="289"/>
      <c r="E132" s="289"/>
      <c r="F132" s="289"/>
      <c r="G132" s="289"/>
      <c r="H132" s="132" t="s">
        <v>95</v>
      </c>
      <c r="I132" s="168">
        <f>I89</f>
        <v>51.04</v>
      </c>
    </row>
    <row r="133" spans="1:9">
      <c r="A133" s="289"/>
      <c r="B133" s="289"/>
      <c r="C133" s="289"/>
      <c r="D133" s="289"/>
      <c r="E133" s="289"/>
      <c r="F133" s="289"/>
      <c r="G133" s="289"/>
      <c r="H133" s="132" t="s">
        <v>96</v>
      </c>
      <c r="I133" s="168">
        <f>I117</f>
        <v>76.849999999999994</v>
      </c>
    </row>
    <row r="134" spans="1:9">
      <c r="A134" s="289"/>
      <c r="B134" s="289"/>
      <c r="C134" s="289"/>
      <c r="D134" s="289"/>
      <c r="E134" s="289"/>
      <c r="F134" s="289"/>
      <c r="G134" s="289"/>
      <c r="H134" s="132" t="s">
        <v>97</v>
      </c>
      <c r="I134" s="82">
        <f>I129</f>
        <v>71.47</v>
      </c>
    </row>
    <row r="135" spans="1:9">
      <c r="A135" s="289"/>
      <c r="B135" s="289"/>
      <c r="C135" s="289"/>
      <c r="D135" s="289"/>
      <c r="E135" s="289"/>
      <c r="F135" s="289"/>
      <c r="G135" s="289"/>
      <c r="H135" s="132" t="s">
        <v>85</v>
      </c>
      <c r="I135" s="82">
        <f>SUM(I130:I134)</f>
        <v>3396.4</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3º ANO'!$S8</f>
        <v>0.05</v>
      </c>
      <c r="I138" s="71">
        <f>(H138*I135)</f>
        <v>169.82</v>
      </c>
    </row>
    <row r="139" spans="1:9">
      <c r="A139" s="69" t="s">
        <v>60</v>
      </c>
      <c r="B139" s="291" t="s">
        <v>152</v>
      </c>
      <c r="C139" s="292"/>
      <c r="D139" s="292"/>
      <c r="E139" s="292"/>
      <c r="F139" s="292"/>
      <c r="G139" s="293"/>
      <c r="H139" s="124">
        <f>'DADOS BÁSICOS 3º ANO'!$T8</f>
        <v>0.05</v>
      </c>
      <c r="I139" s="71">
        <f>H139*(I135+I138)</f>
        <v>178.31</v>
      </c>
    </row>
    <row r="140" spans="1:9">
      <c r="A140" s="69" t="s">
        <v>62</v>
      </c>
      <c r="B140" s="294" t="s">
        <v>153</v>
      </c>
      <c r="C140" s="294"/>
      <c r="D140" s="294"/>
      <c r="E140" s="294"/>
      <c r="F140" s="294"/>
      <c r="G140" s="294"/>
      <c r="H140" s="169">
        <f>SUM(H141+H142+H143)</f>
        <v>8.6499999999999994E-2</v>
      </c>
      <c r="I140" s="170">
        <f>SUM(I141:I143)</f>
        <v>354.57</v>
      </c>
    </row>
    <row r="141" spans="1:9">
      <c r="A141" s="154"/>
      <c r="B141" s="286" t="s">
        <v>154</v>
      </c>
      <c r="C141" s="286"/>
      <c r="D141" s="286"/>
      <c r="E141" s="286"/>
      <c r="F141" s="286"/>
      <c r="G141" s="286"/>
      <c r="H141" s="127">
        <f>IF('DADOS BÁSICOS 3º ANO'!$B$25="LUCRO PRESUMIDO",'DADOS BÁSICOS 3º ANO'!$B$28,'DADOS BÁSICOS 3º ANO'!$C$28)</f>
        <v>0.03</v>
      </c>
      <c r="I141" s="71">
        <f>SUM(H141*I154)</f>
        <v>122.97</v>
      </c>
    </row>
    <row r="142" spans="1:9">
      <c r="A142" s="154"/>
      <c r="B142" s="286" t="s">
        <v>155</v>
      </c>
      <c r="C142" s="286"/>
      <c r="D142" s="286"/>
      <c r="E142" s="286"/>
      <c r="F142" s="286"/>
      <c r="G142" s="286"/>
      <c r="H142" s="127">
        <f>IF('DADOS BÁSICOS 3º ANO'!$B$25="LUCRO PRESUMIDO",'DADOS BÁSICOS 3º ANO'!$B$27,'DADOS BÁSICOS 3º ANO'!$C$27)</f>
        <v>6.4999999999999997E-3</v>
      </c>
      <c r="I142" s="71">
        <f>SUM(H142*I154)</f>
        <v>26.64</v>
      </c>
    </row>
    <row r="143" spans="1:9">
      <c r="A143" s="154"/>
      <c r="B143" s="286" t="s">
        <v>156</v>
      </c>
      <c r="C143" s="286"/>
      <c r="D143" s="286"/>
      <c r="E143" s="286"/>
      <c r="F143" s="286"/>
      <c r="G143" s="286"/>
      <c r="H143" s="127">
        <f>'DADOS BÁSICOS 3º ANO'!U8</f>
        <v>0.05</v>
      </c>
      <c r="I143" s="71">
        <f>SUM(H143*I154)</f>
        <v>204.96</v>
      </c>
    </row>
    <row r="144" spans="1:9">
      <c r="A144" s="287" t="s">
        <v>85</v>
      </c>
      <c r="B144" s="287"/>
      <c r="C144" s="287"/>
      <c r="D144" s="287"/>
      <c r="E144" s="287"/>
      <c r="F144" s="287"/>
      <c r="G144" s="287"/>
      <c r="H144" s="171"/>
      <c r="I144" s="80">
        <f>SUM(I138+I139+I141+I142+I143)</f>
        <v>702.7</v>
      </c>
    </row>
    <row r="145" spans="1:9">
      <c r="A145" s="172" t="s">
        <v>157</v>
      </c>
      <c r="B145" s="173"/>
      <c r="C145" s="173"/>
      <c r="D145" s="173"/>
      <c r="E145" s="173"/>
      <c r="F145" s="173"/>
      <c r="G145" s="173"/>
      <c r="H145" s="174"/>
      <c r="I145" s="175"/>
    </row>
    <row r="146" spans="1:9">
      <c r="A146" s="288" t="s">
        <v>158</v>
      </c>
      <c r="B146" s="288"/>
      <c r="C146" s="288"/>
      <c r="D146" s="288"/>
      <c r="E146" s="288"/>
      <c r="F146" s="288"/>
      <c r="G146" s="288"/>
      <c r="H146" s="148"/>
      <c r="I146" s="84" t="s">
        <v>79</v>
      </c>
    </row>
    <row r="147" spans="1:9">
      <c r="A147" s="176" t="s">
        <v>58</v>
      </c>
      <c r="B147" s="284" t="s">
        <v>159</v>
      </c>
      <c r="C147" s="284"/>
      <c r="D147" s="284"/>
      <c r="E147" s="284"/>
      <c r="F147" s="284"/>
      <c r="G147" s="284"/>
      <c r="H147" s="48"/>
      <c r="I147" s="177">
        <f>I29</f>
        <v>1533.52</v>
      </c>
    </row>
    <row r="148" spans="1:9">
      <c r="A148" s="176" t="s">
        <v>60</v>
      </c>
      <c r="B148" s="284" t="s">
        <v>121</v>
      </c>
      <c r="C148" s="284"/>
      <c r="D148" s="284"/>
      <c r="E148" s="284"/>
      <c r="F148" s="284"/>
      <c r="G148" s="284"/>
      <c r="H148" s="178"/>
      <c r="I148" s="177">
        <f>I80</f>
        <v>1663.52</v>
      </c>
    </row>
    <row r="149" spans="1:9">
      <c r="A149" s="176" t="s">
        <v>62</v>
      </c>
      <c r="B149" s="284" t="s">
        <v>160</v>
      </c>
      <c r="C149" s="284"/>
      <c r="D149" s="284"/>
      <c r="E149" s="284"/>
      <c r="F149" s="284"/>
      <c r="G149" s="284"/>
      <c r="H149" s="178"/>
      <c r="I149" s="177">
        <f>I89</f>
        <v>51.04</v>
      </c>
    </row>
    <row r="150" spans="1:9">
      <c r="A150" s="176" t="s">
        <v>64</v>
      </c>
      <c r="B150" s="284" t="s">
        <v>144</v>
      </c>
      <c r="C150" s="284"/>
      <c r="D150" s="284"/>
      <c r="E150" s="284"/>
      <c r="F150" s="284"/>
      <c r="G150" s="284"/>
      <c r="H150" s="178"/>
      <c r="I150" s="177">
        <f>I117</f>
        <v>76.849999999999994</v>
      </c>
    </row>
    <row r="151" spans="1:9">
      <c r="A151" s="176" t="s">
        <v>66</v>
      </c>
      <c r="B151" s="284" t="s">
        <v>161</v>
      </c>
      <c r="C151" s="284"/>
      <c r="D151" s="284"/>
      <c r="E151" s="284"/>
      <c r="F151" s="284"/>
      <c r="G151" s="284"/>
      <c r="H151" s="178"/>
      <c r="I151" s="177">
        <f>I129</f>
        <v>71.47</v>
      </c>
    </row>
    <row r="152" spans="1:9">
      <c r="A152" s="285" t="s">
        <v>162</v>
      </c>
      <c r="B152" s="285"/>
      <c r="C152" s="285"/>
      <c r="D152" s="285"/>
      <c r="E152" s="285"/>
      <c r="F152" s="285"/>
      <c r="G152" s="285"/>
      <c r="H152" s="179"/>
      <c r="I152" s="180">
        <f>SUM(I147:I151)</f>
        <v>3396.4</v>
      </c>
    </row>
    <row r="153" spans="1:9">
      <c r="A153" s="181" t="s">
        <v>84</v>
      </c>
      <c r="B153" s="286" t="s">
        <v>163</v>
      </c>
      <c r="C153" s="286"/>
      <c r="D153" s="286"/>
      <c r="E153" s="286"/>
      <c r="F153" s="286"/>
      <c r="G153" s="286"/>
      <c r="H153" s="48"/>
      <c r="I153" s="182">
        <f>I144</f>
        <v>702.7</v>
      </c>
    </row>
    <row r="154" spans="1:9" ht="17" thickBot="1">
      <c r="A154" s="285" t="s">
        <v>164</v>
      </c>
      <c r="B154" s="285"/>
      <c r="C154" s="285"/>
      <c r="D154" s="285"/>
      <c r="E154" s="285"/>
      <c r="F154" s="285"/>
      <c r="G154" s="285"/>
      <c r="H154" s="183"/>
      <c r="I154" s="184">
        <f>SUM(I152+I138+I139)/(1-H140)</f>
        <v>4099.1000000000004</v>
      </c>
    </row>
    <row r="155" spans="1:9">
      <c r="A155" s="172" t="s">
        <v>165</v>
      </c>
      <c r="B155" s="185"/>
      <c r="C155" s="185"/>
      <c r="D155" s="185"/>
      <c r="E155" s="185"/>
      <c r="F155" s="185"/>
      <c r="G155" s="185"/>
      <c r="H155" s="186" t="s">
        <v>166</v>
      </c>
      <c r="I155" s="185" t="s">
        <v>79</v>
      </c>
    </row>
    <row r="156" spans="1:9">
      <c r="A156" s="43" t="s">
        <v>198</v>
      </c>
      <c r="B156" s="283" t="s">
        <v>27</v>
      </c>
      <c r="C156" s="283"/>
      <c r="D156" s="283"/>
      <c r="E156" s="283"/>
      <c r="F156" s="283"/>
      <c r="G156" s="283"/>
      <c r="H156" s="187">
        <f>H11</f>
        <v>2</v>
      </c>
      <c r="I156" s="188">
        <f>H156*I154</f>
        <v>8198.2000000000007</v>
      </c>
    </row>
    <row r="157" spans="1:9">
      <c r="I157" s="35"/>
    </row>
    <row r="158" spans="1:9">
      <c r="I158" s="35"/>
    </row>
    <row r="159" spans="1:9">
      <c r="I159" s="35"/>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qxhbchcM4fTEldXEXM7uwqAQjH8iYata27rQqeueLhfZhgIP5rY+2fIL7CxFXONNl9956eLrkPbFyw7rtcGYVQ==" saltValue="1ZKJKd9paExyrW+JsYFZ5Q==" spinCount="100000" sheet="1" objects="1" scenarios="1"/>
  <mergeCells count="156">
    <mergeCell ref="B7:G7"/>
    <mergeCell ref="H7:I7"/>
    <mergeCell ref="B8:G8"/>
    <mergeCell ref="H8:I8"/>
    <mergeCell ref="B9:G9"/>
    <mergeCell ref="H9:I9"/>
    <mergeCell ref="A1:I1"/>
    <mergeCell ref="A6:I6"/>
    <mergeCell ref="A2:B2"/>
    <mergeCell ref="C2:D2"/>
    <mergeCell ref="E2:I2"/>
    <mergeCell ref="A3:B3"/>
    <mergeCell ref="C3:D3"/>
    <mergeCell ref="E3:I3"/>
    <mergeCell ref="A4:B4"/>
    <mergeCell ref="C4:D4"/>
    <mergeCell ref="E4:I4"/>
    <mergeCell ref="A5:B5"/>
    <mergeCell ref="C5:D5"/>
    <mergeCell ref="E5:I5"/>
    <mergeCell ref="B14:G14"/>
    <mergeCell ref="H14:I14"/>
    <mergeCell ref="B15:G15"/>
    <mergeCell ref="H15:I15"/>
    <mergeCell ref="B16:G16"/>
    <mergeCell ref="H16:I16"/>
    <mergeCell ref="B10:G10"/>
    <mergeCell ref="H10:I10"/>
    <mergeCell ref="B11:G11"/>
    <mergeCell ref="H11:I11"/>
    <mergeCell ref="B13:G13"/>
    <mergeCell ref="H13:I13"/>
    <mergeCell ref="B20:G20"/>
    <mergeCell ref="H20:I20"/>
    <mergeCell ref="B22:G22"/>
    <mergeCell ref="B23:G23"/>
    <mergeCell ref="B24:G24"/>
    <mergeCell ref="B25:G25"/>
    <mergeCell ref="B17:G17"/>
    <mergeCell ref="H17:I17"/>
    <mergeCell ref="B18:G18"/>
    <mergeCell ref="H18:I18"/>
    <mergeCell ref="B19:G19"/>
    <mergeCell ref="H19:I19"/>
    <mergeCell ref="B32:G32"/>
    <mergeCell ref="B33:G33"/>
    <mergeCell ref="C34:G34"/>
    <mergeCell ref="C35:G35"/>
    <mergeCell ref="C37:G37"/>
    <mergeCell ref="C38:G38"/>
    <mergeCell ref="B26:G26"/>
    <mergeCell ref="B27:G27"/>
    <mergeCell ref="B28:D28"/>
    <mergeCell ref="E28:G28"/>
    <mergeCell ref="A29:G29"/>
    <mergeCell ref="B31:G31"/>
    <mergeCell ref="C36:G36"/>
    <mergeCell ref="B48:G48"/>
    <mergeCell ref="B49:G49"/>
    <mergeCell ref="B50:G50"/>
    <mergeCell ref="B51:G51"/>
    <mergeCell ref="B52:G52"/>
    <mergeCell ref="B53:G53"/>
    <mergeCell ref="C39:G39"/>
    <mergeCell ref="A40:G40"/>
    <mergeCell ref="A41:G43"/>
    <mergeCell ref="B45:G45"/>
    <mergeCell ref="B46:G46"/>
    <mergeCell ref="B47:G47"/>
    <mergeCell ref="B61:G61"/>
    <mergeCell ref="I61:I64"/>
    <mergeCell ref="B62:G62"/>
    <mergeCell ref="B63:G63"/>
    <mergeCell ref="B64:G64"/>
    <mergeCell ref="B65:G65"/>
    <mergeCell ref="A54:G54"/>
    <mergeCell ref="B56:G56"/>
    <mergeCell ref="B57:G57"/>
    <mergeCell ref="I57:I60"/>
    <mergeCell ref="B58:G58"/>
    <mergeCell ref="B59:G59"/>
    <mergeCell ref="B60:G60"/>
    <mergeCell ref="B73:G73"/>
    <mergeCell ref="A74:G74"/>
    <mergeCell ref="B76:G76"/>
    <mergeCell ref="B77:G77"/>
    <mergeCell ref="B78:G78"/>
    <mergeCell ref="B79:G79"/>
    <mergeCell ref="B66:G66"/>
    <mergeCell ref="B67:G67"/>
    <mergeCell ref="B68:G68"/>
    <mergeCell ref="B70:G70"/>
    <mergeCell ref="B71:G71"/>
    <mergeCell ref="B72:G72"/>
    <mergeCell ref="B69:G69"/>
    <mergeCell ref="B87:G87"/>
    <mergeCell ref="B88:G88"/>
    <mergeCell ref="A89:G89"/>
    <mergeCell ref="A90:G93"/>
    <mergeCell ref="B96:G96"/>
    <mergeCell ref="B97:G97"/>
    <mergeCell ref="A80:G80"/>
    <mergeCell ref="B82:G82"/>
    <mergeCell ref="B83:G83"/>
    <mergeCell ref="B84:G84"/>
    <mergeCell ref="B85:G85"/>
    <mergeCell ref="B86:G86"/>
    <mergeCell ref="B104:G104"/>
    <mergeCell ref="B105:G105"/>
    <mergeCell ref="B106:G106"/>
    <mergeCell ref="B107:G107"/>
    <mergeCell ref="B108:G108"/>
    <mergeCell ref="A109:G109"/>
    <mergeCell ref="B98:G98"/>
    <mergeCell ref="B99:G99"/>
    <mergeCell ref="B100:G100"/>
    <mergeCell ref="B101:G101"/>
    <mergeCell ref="B102:G102"/>
    <mergeCell ref="B103:G103"/>
    <mergeCell ref="A117:G117"/>
    <mergeCell ref="B119:G119"/>
    <mergeCell ref="B120:G120"/>
    <mergeCell ref="B121:G121"/>
    <mergeCell ref="B122:G122"/>
    <mergeCell ref="B123:G123"/>
    <mergeCell ref="B110:G110"/>
    <mergeCell ref="B111:G111"/>
    <mergeCell ref="A112:G112"/>
    <mergeCell ref="B114:G114"/>
    <mergeCell ref="B115:G115"/>
    <mergeCell ref="B116:G116"/>
    <mergeCell ref="A130:G135"/>
    <mergeCell ref="B137:G137"/>
    <mergeCell ref="B138:G138"/>
    <mergeCell ref="B139:G139"/>
    <mergeCell ref="B140:G140"/>
    <mergeCell ref="B141:G141"/>
    <mergeCell ref="B124:G124"/>
    <mergeCell ref="B125:G125"/>
    <mergeCell ref="B126:G126"/>
    <mergeCell ref="B127:G127"/>
    <mergeCell ref="B128:G128"/>
    <mergeCell ref="A129:G129"/>
    <mergeCell ref="B156:G156"/>
    <mergeCell ref="B149:G149"/>
    <mergeCell ref="B150:G150"/>
    <mergeCell ref="B151:G151"/>
    <mergeCell ref="A152:G152"/>
    <mergeCell ref="B153:G153"/>
    <mergeCell ref="A154:G154"/>
    <mergeCell ref="B142:G142"/>
    <mergeCell ref="B143:G143"/>
    <mergeCell ref="A144:G144"/>
    <mergeCell ref="A146:G146"/>
    <mergeCell ref="B147:G147"/>
    <mergeCell ref="B148:G148"/>
  </mergeCells>
  <pageMargins left="0.511811024" right="0.511811024" top="0.78740157500000008" bottom="0.78740157500000008" header="0.31496062000000008" footer="0.31496062000000008"/>
  <pageSetup paperSize="9" scale="65" fitToWidth="0"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C9F0A-79D6-45AC-9A44-05CD63A61481}">
  <dimension ref="A1:I20"/>
  <sheetViews>
    <sheetView workbookViewId="0">
      <selection activeCell="H12" sqref="H12"/>
    </sheetView>
  </sheetViews>
  <sheetFormatPr defaultColWidth="8.7265625" defaultRowHeight="16.5"/>
  <cols>
    <col min="1" max="1" width="7.54296875" style="228" bestFit="1" customWidth="1"/>
    <col min="2" max="2" width="5.7265625" style="228" bestFit="1" customWidth="1"/>
    <col min="3" max="3" width="42.54296875" style="228" bestFit="1" customWidth="1"/>
    <col min="4" max="4" width="15.7265625" style="228" bestFit="1" customWidth="1"/>
    <col min="5" max="5" width="15.54296875" style="228" bestFit="1" customWidth="1"/>
    <col min="6" max="6" width="13.54296875" style="228" bestFit="1" customWidth="1"/>
    <col min="7" max="7" width="17.81640625" style="228" customWidth="1"/>
    <col min="8" max="8" width="17.7265625" style="228" bestFit="1" customWidth="1"/>
    <col min="9" max="9" width="15.81640625" style="228" customWidth="1"/>
    <col min="10" max="10" width="15.81640625" style="228" bestFit="1" customWidth="1"/>
    <col min="11" max="11" width="17.7265625" style="228" customWidth="1"/>
    <col min="12" max="13" width="8.7265625" style="228" customWidth="1"/>
    <col min="14" max="14" width="15.81640625" style="228" bestFit="1" customWidth="1"/>
    <col min="15" max="15" width="8.7265625" style="228" customWidth="1"/>
    <col min="16" max="16384" width="8.7265625" style="228"/>
  </cols>
  <sheetData>
    <row r="1" spans="1:9">
      <c r="A1" s="396" t="s">
        <v>0</v>
      </c>
      <c r="B1" s="396"/>
      <c r="C1" s="396"/>
      <c r="D1" s="396"/>
      <c r="E1" s="396"/>
      <c r="F1" s="396"/>
      <c r="G1" s="396"/>
      <c r="H1" s="396"/>
      <c r="I1" s="396"/>
    </row>
    <row r="2" spans="1:9">
      <c r="A2" s="396"/>
      <c r="B2" s="396"/>
      <c r="C2" s="396"/>
      <c r="D2" s="396"/>
      <c r="E2" s="396"/>
      <c r="F2" s="396"/>
      <c r="G2" s="396"/>
      <c r="H2" s="396"/>
      <c r="I2" s="396"/>
    </row>
    <row r="3" spans="1:9">
      <c r="A3" s="396"/>
      <c r="B3" s="396"/>
      <c r="C3" s="396"/>
      <c r="D3" s="396"/>
      <c r="E3" s="396"/>
      <c r="F3" s="396"/>
      <c r="G3" s="396"/>
      <c r="H3" s="396"/>
      <c r="I3" s="396"/>
    </row>
    <row r="5" spans="1:9" ht="17" thickBot="1"/>
    <row r="6" spans="1:9" ht="63.75" customHeight="1">
      <c r="A6" s="229" t="s">
        <v>1</v>
      </c>
      <c r="B6" s="230" t="s">
        <v>2</v>
      </c>
      <c r="C6" s="231" t="s">
        <v>3</v>
      </c>
      <c r="D6" s="231" t="s">
        <v>4</v>
      </c>
      <c r="E6" s="231" t="s">
        <v>5</v>
      </c>
      <c r="F6" s="232" t="s">
        <v>6</v>
      </c>
      <c r="G6" s="231" t="s">
        <v>167</v>
      </c>
      <c r="H6" s="231" t="s">
        <v>7</v>
      </c>
      <c r="I6" s="233" t="s">
        <v>8</v>
      </c>
    </row>
    <row r="7" spans="1:9">
      <c r="A7" s="398">
        <v>1</v>
      </c>
      <c r="B7" s="234">
        <v>1</v>
      </c>
      <c r="C7" s="235" t="s">
        <v>173</v>
      </c>
      <c r="D7" s="236" t="str">
        <f>'RECEPÇÃO 3º ANO'!H8</f>
        <v>Curitiba/PR</v>
      </c>
      <c r="E7" s="236">
        <f>'RECEPÇÃO 3º ANO'!H11</f>
        <v>46</v>
      </c>
      <c r="F7" s="236">
        <v>1</v>
      </c>
      <c r="G7" s="237">
        <f>'RECEPÇÃO 3º ANO'!I154</f>
        <v>4621.92</v>
      </c>
      <c r="H7" s="237">
        <f>G7*E7</f>
        <v>212608.32</v>
      </c>
      <c r="I7" s="238">
        <f>H7*12</f>
        <v>2551299.84</v>
      </c>
    </row>
    <row r="8" spans="1:9">
      <c r="A8" s="398"/>
      <c r="B8" s="234">
        <v>2</v>
      </c>
      <c r="C8" s="235" t="s">
        <v>173</v>
      </c>
      <c r="D8" s="236" t="str">
        <f>'RECEPÇÃO 3º ANO'!J8</f>
        <v>Guarapuava/PR</v>
      </c>
      <c r="E8" s="236">
        <f>'RECEPÇÃO 3º ANO'!J11</f>
        <v>4</v>
      </c>
      <c r="F8" s="236">
        <v>1</v>
      </c>
      <c r="G8" s="237">
        <f>'RECEPÇÃO 3º ANO'!K154</f>
        <v>4579.28</v>
      </c>
      <c r="H8" s="237">
        <f t="shared" ref="H8:H13" si="0">G8*E8</f>
        <v>18317.12</v>
      </c>
      <c r="I8" s="238">
        <f t="shared" ref="I8:I13" si="1">H8*12</f>
        <v>219805.44</v>
      </c>
    </row>
    <row r="9" spans="1:9">
      <c r="A9" s="398"/>
      <c r="B9" s="234">
        <v>3</v>
      </c>
      <c r="C9" s="235" t="s">
        <v>173</v>
      </c>
      <c r="D9" s="236" t="str">
        <f>'RECEPÇÃO 3º ANO'!L8</f>
        <v>Londrina/PR</v>
      </c>
      <c r="E9" s="236">
        <f>'RECEPÇÃO 3º ANO'!L11</f>
        <v>14</v>
      </c>
      <c r="F9" s="236">
        <v>1</v>
      </c>
      <c r="G9" s="237">
        <f>'RECEPÇÃO 3º ANO'!M154</f>
        <v>4561.72</v>
      </c>
      <c r="H9" s="237">
        <f t="shared" si="0"/>
        <v>63864.08</v>
      </c>
      <c r="I9" s="238">
        <f t="shared" si="1"/>
        <v>766368.96</v>
      </c>
    </row>
    <row r="10" spans="1:9">
      <c r="A10" s="398"/>
      <c r="B10" s="234">
        <v>4</v>
      </c>
      <c r="C10" s="235" t="s">
        <v>173</v>
      </c>
      <c r="D10" s="236" t="str">
        <f>'RECEPÇÃO 3º ANO'!N8</f>
        <v>Maringá/PR</v>
      </c>
      <c r="E10" s="236">
        <f>'RECEPÇÃO 3º ANO'!N11</f>
        <v>12</v>
      </c>
      <c r="F10" s="236">
        <v>1</v>
      </c>
      <c r="G10" s="237">
        <f>'RECEPÇÃO 3º ANO'!O154</f>
        <v>4517.17</v>
      </c>
      <c r="H10" s="237">
        <f t="shared" si="0"/>
        <v>54206.04</v>
      </c>
      <c r="I10" s="238">
        <f t="shared" si="1"/>
        <v>650472.48</v>
      </c>
    </row>
    <row r="11" spans="1:9">
      <c r="A11" s="398"/>
      <c r="B11" s="234">
        <v>5</v>
      </c>
      <c r="C11" s="235" t="s">
        <v>173</v>
      </c>
      <c r="D11" s="236" t="str">
        <f>'RECEPÇÃO 3º ANO'!P8</f>
        <v>Paranaguá/PR</v>
      </c>
      <c r="E11" s="236">
        <f>'RECEPÇÃO 3º ANO'!P11</f>
        <v>6</v>
      </c>
      <c r="F11" s="236">
        <v>1</v>
      </c>
      <c r="G11" s="237">
        <f>'RECEPÇÃO 3º ANO'!Q154</f>
        <v>4538.22</v>
      </c>
      <c r="H11" s="237">
        <f t="shared" si="0"/>
        <v>27229.32</v>
      </c>
      <c r="I11" s="238">
        <f t="shared" si="1"/>
        <v>326751.84000000003</v>
      </c>
    </row>
    <row r="12" spans="1:9">
      <c r="A12" s="398"/>
      <c r="B12" s="234">
        <v>6</v>
      </c>
      <c r="C12" s="235" t="s">
        <v>173</v>
      </c>
      <c r="D12" s="236" t="str">
        <f>'RECEPÇÃO 3º ANO'!R8</f>
        <v>Ponta Grossa/PR</v>
      </c>
      <c r="E12" s="236">
        <f>'RECEPÇÃO 3º ANO'!R11</f>
        <v>4</v>
      </c>
      <c r="F12" s="236">
        <v>1</v>
      </c>
      <c r="G12" s="237">
        <f>'RECEPÇÃO 3º ANO'!S154</f>
        <v>4628.21</v>
      </c>
      <c r="H12" s="237">
        <f t="shared" si="0"/>
        <v>18512.84</v>
      </c>
      <c r="I12" s="238">
        <f t="shared" si="1"/>
        <v>222154.08</v>
      </c>
    </row>
    <row r="13" spans="1:9">
      <c r="A13" s="398"/>
      <c r="B13" s="234">
        <v>7</v>
      </c>
      <c r="C13" s="235" t="s">
        <v>174</v>
      </c>
      <c r="D13" s="236" t="str">
        <f>'TELEFONISTA 3º ANO'!H8</f>
        <v>Curitiba/PR</v>
      </c>
      <c r="E13" s="236">
        <f>'TELEFONISTA 3º ANO'!H11</f>
        <v>2</v>
      </c>
      <c r="F13" s="236">
        <v>1</v>
      </c>
      <c r="G13" s="237">
        <f>'TELEFONISTA 3º ANO'!I154</f>
        <v>4099.1000000000004</v>
      </c>
      <c r="H13" s="237">
        <f t="shared" si="0"/>
        <v>8198.2000000000007</v>
      </c>
      <c r="I13" s="238">
        <f t="shared" si="1"/>
        <v>98378.4</v>
      </c>
    </row>
    <row r="14" spans="1:9" ht="17" thickBot="1">
      <c r="A14" s="399" t="s">
        <v>178</v>
      </c>
      <c r="B14" s="400"/>
      <c r="C14" s="400"/>
      <c r="D14" s="400"/>
      <c r="E14" s="239">
        <f>SUM(E7:E13)</f>
        <v>88</v>
      </c>
      <c r="F14" s="239">
        <v>1</v>
      </c>
      <c r="G14" s="240"/>
      <c r="H14" s="241">
        <f>SUM(H7:H13)</f>
        <v>402935.92</v>
      </c>
      <c r="I14" s="242">
        <f>SUM(I7:I13)</f>
        <v>4835231.04</v>
      </c>
    </row>
    <row r="15" spans="1:9">
      <c r="C15" s="243"/>
      <c r="D15" s="243"/>
      <c r="E15" s="243"/>
      <c r="F15" s="243"/>
      <c r="G15" s="243"/>
    </row>
    <row r="16" spans="1:9">
      <c r="B16" s="397"/>
      <c r="C16" s="397"/>
      <c r="D16" s="397"/>
      <c r="E16" s="397"/>
      <c r="F16" s="397"/>
      <c r="G16" s="397"/>
      <c r="H16" s="397"/>
      <c r="I16" s="397"/>
    </row>
    <row r="17" spans="3:7">
      <c r="C17" s="397"/>
      <c r="D17" s="397"/>
      <c r="E17" s="397"/>
      <c r="F17" s="245"/>
      <c r="G17" s="245"/>
    </row>
    <row r="18" spans="3:7">
      <c r="E18" s="243"/>
      <c r="F18" s="243"/>
      <c r="G18" s="243"/>
    </row>
    <row r="19" spans="3:7">
      <c r="E19" s="243"/>
      <c r="F19" s="243"/>
      <c r="G19" s="243"/>
    </row>
    <row r="20" spans="3:7">
      <c r="E20" s="243"/>
      <c r="F20" s="243"/>
      <c r="G20" s="243"/>
    </row>
  </sheetData>
  <sheetProtection algorithmName="SHA-512" hashValue="mXjbGagUNnFhg4txKedyOyP6fgHbJcZNxhSNbh9NMrRKbD8kZW6Ck4SCbAFJ7a8tTdaQWPMAVTe62/irjmWx1Q==" saltValue="7V6By7Y66MdUJTKeOMU54A==" spinCount="100000" sheet="1" objects="1" scenarios="1"/>
  <mergeCells count="5">
    <mergeCell ref="A1:I3"/>
    <mergeCell ref="A7:A13"/>
    <mergeCell ref="A14:D14"/>
    <mergeCell ref="B16:I16"/>
    <mergeCell ref="C17:E17"/>
  </mergeCells>
  <pageMargins left="0.511811023622047" right="0.511811023622047" top="0.78740157480315021" bottom="0.78740157480315021" header="0.31496062992126012" footer="0.31496062992126012"/>
  <pageSetup paperSize="9" scale="54" fitToWidth="0" fitToHeight="0"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AF15A-3DD0-4918-947A-BCFB264481AC}">
  <dimension ref="A1:W273"/>
  <sheetViews>
    <sheetView topLeftCell="A130" zoomScale="90" zoomScaleNormal="90" workbookViewId="0">
      <selection activeCell="N155" sqref="N155"/>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9.1796875" style="35" bestFit="1" customWidth="1"/>
    <col min="8" max="8" width="15.81640625" style="35" bestFit="1" customWidth="1"/>
    <col min="9" max="9" width="13.54296875" style="189" bestFit="1" customWidth="1"/>
    <col min="10" max="10" width="11.7265625" style="35" customWidth="1"/>
    <col min="11" max="16384" width="11.7265625" style="35"/>
  </cols>
  <sheetData>
    <row r="1" spans="1:9" ht="52.5" customHeight="1">
      <c r="A1" s="401" t="s">
        <v>270</v>
      </c>
      <c r="B1" s="402"/>
      <c r="C1" s="402"/>
      <c r="D1" s="402"/>
      <c r="E1" s="402"/>
      <c r="F1" s="402"/>
      <c r="G1" s="402"/>
      <c r="H1" s="402"/>
      <c r="I1" s="402"/>
    </row>
    <row r="2" spans="1:9" ht="12.75" customHeight="1">
      <c r="A2" s="349" t="s">
        <v>54</v>
      </c>
      <c r="B2" s="349"/>
      <c r="C2" s="349"/>
      <c r="D2" s="349"/>
      <c r="E2" s="349"/>
      <c r="F2" s="349"/>
      <c r="G2" s="349"/>
      <c r="H2" s="349"/>
      <c r="I2" s="349"/>
    </row>
    <row r="3" spans="1:9" ht="12.75" customHeight="1">
      <c r="A3" s="349" t="s">
        <v>55</v>
      </c>
      <c r="B3" s="349"/>
      <c r="C3" s="349"/>
      <c r="D3" s="349"/>
      <c r="E3" s="349"/>
      <c r="F3" s="349"/>
      <c r="G3" s="349"/>
      <c r="H3" s="349"/>
      <c r="I3" s="349"/>
    </row>
    <row r="4" spans="1:9" ht="12.75" customHeight="1">
      <c r="A4" s="350" t="s">
        <v>56</v>
      </c>
      <c r="B4" s="350"/>
      <c r="C4" s="350"/>
      <c r="D4" s="350"/>
      <c r="E4" s="350"/>
      <c r="F4" s="350"/>
      <c r="G4" s="350"/>
      <c r="H4" s="350"/>
      <c r="I4" s="350"/>
    </row>
    <row r="5" spans="1:9" ht="12.75" customHeight="1">
      <c r="A5" s="351"/>
      <c r="B5" s="351"/>
      <c r="C5" s="351"/>
      <c r="D5" s="351"/>
      <c r="E5" s="351"/>
      <c r="F5" s="351"/>
      <c r="G5" s="351"/>
      <c r="H5" s="351"/>
      <c r="I5" s="351"/>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2º ANO'!$A$4</f>
        <v>44344</v>
      </c>
      <c r="I7" s="346"/>
    </row>
    <row r="8" spans="1:9" ht="12.75" customHeight="1">
      <c r="A8" s="36" t="s">
        <v>60</v>
      </c>
      <c r="B8" s="286" t="s">
        <v>61</v>
      </c>
      <c r="C8" s="286"/>
      <c r="D8" s="286"/>
      <c r="E8" s="286"/>
      <c r="F8" s="286"/>
      <c r="G8" s="286"/>
      <c r="H8" s="345" t="str">
        <f>'DADOS BÁSICOS 2º ANO'!A8</f>
        <v>Curitiba/PR</v>
      </c>
      <c r="I8" s="345"/>
    </row>
    <row r="9" spans="1:9" ht="12.75" customHeight="1">
      <c r="A9" s="36" t="s">
        <v>62</v>
      </c>
      <c r="B9" s="286" t="s">
        <v>63</v>
      </c>
      <c r="C9" s="286"/>
      <c r="D9" s="286"/>
      <c r="E9" s="286"/>
      <c r="F9" s="286"/>
      <c r="G9" s="286"/>
      <c r="H9" s="344" t="str">
        <f>'DADOS BÁSICOS 2º ANO'!D8</f>
        <v>PR000326/2021</v>
      </c>
      <c r="I9" s="344"/>
    </row>
    <row r="10" spans="1:9" ht="12.75" customHeight="1">
      <c r="A10" s="36" t="s">
        <v>64</v>
      </c>
      <c r="B10" s="286" t="s">
        <v>65</v>
      </c>
      <c r="C10" s="286"/>
      <c r="D10" s="286"/>
      <c r="E10" s="286"/>
      <c r="F10" s="286"/>
      <c r="G10" s="286"/>
      <c r="H10" s="344">
        <f>'DADOS BÁSICOS 2º ANO'!$E$17</f>
        <v>12</v>
      </c>
      <c r="I10" s="344"/>
    </row>
    <row r="11" spans="1:9" ht="12.75" customHeight="1">
      <c r="A11" s="36" t="s">
        <v>66</v>
      </c>
      <c r="B11" s="286" t="s">
        <v>67</v>
      </c>
      <c r="C11" s="286"/>
      <c r="D11" s="286"/>
      <c r="E11" s="286"/>
      <c r="F11" s="286"/>
      <c r="G11" s="286"/>
      <c r="H11" s="344">
        <f>'DADOS BÁSICOS 2º ANO'!B8</f>
        <v>46</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2º ANO'!$A$17</f>
        <v>4221-05</v>
      </c>
      <c r="I14" s="342"/>
    </row>
    <row r="15" spans="1:9" ht="15" customHeight="1">
      <c r="A15" s="36">
        <v>4</v>
      </c>
      <c r="B15" s="286" t="s">
        <v>73</v>
      </c>
      <c r="C15" s="286"/>
      <c r="D15" s="286"/>
      <c r="E15" s="286"/>
      <c r="F15" s="286"/>
      <c r="G15" s="286"/>
      <c r="H15" s="342" t="str">
        <f>'DADOS BÁSICOS 2º ANO'!$B$17</f>
        <v>Recepcionista</v>
      </c>
      <c r="I15" s="342"/>
    </row>
    <row r="16" spans="1:9" ht="12.75" customHeight="1">
      <c r="A16" s="41">
        <v>5</v>
      </c>
      <c r="B16" s="286" t="s">
        <v>74</v>
      </c>
      <c r="C16" s="286"/>
      <c r="D16" s="286"/>
      <c r="E16" s="286"/>
      <c r="F16" s="286"/>
      <c r="G16" s="286"/>
      <c r="H16" s="384">
        <f>'DADOS BÁSICOS 2º ANO'!E8</f>
        <v>44228</v>
      </c>
      <c r="I16" s="384"/>
    </row>
    <row r="17" spans="1:9" ht="12.75" customHeight="1">
      <c r="A17" s="36">
        <v>3</v>
      </c>
      <c r="B17" s="286" t="s">
        <v>72</v>
      </c>
      <c r="C17" s="286"/>
      <c r="D17" s="286"/>
      <c r="E17" s="286"/>
      <c r="F17" s="286"/>
      <c r="G17" s="286"/>
      <c r="H17" s="383">
        <f>'DADOS BÁSICOS 2º ANO'!H8</f>
        <v>1516.66</v>
      </c>
      <c r="I17" s="383"/>
    </row>
    <row r="18" spans="1:9" ht="12.75" customHeight="1">
      <c r="A18" s="43">
        <v>6</v>
      </c>
      <c r="B18" s="284" t="s">
        <v>233</v>
      </c>
      <c r="C18" s="284"/>
      <c r="D18" s="284"/>
      <c r="E18" s="284"/>
      <c r="F18" s="284"/>
      <c r="G18" s="284"/>
      <c r="H18" s="382">
        <f>'DADOS BÁSICOS 2º ANO'!G8</f>
        <v>220</v>
      </c>
      <c r="I18" s="382"/>
    </row>
    <row r="19" spans="1:9" ht="12.75" customHeight="1">
      <c r="A19" s="43">
        <v>6</v>
      </c>
      <c r="B19" s="303" t="s">
        <v>234</v>
      </c>
      <c r="C19" s="303"/>
      <c r="D19" s="303"/>
      <c r="E19" s="303"/>
      <c r="F19" s="303"/>
      <c r="G19" s="284"/>
      <c r="H19" s="336">
        <f>'DADOS BÁSICOS 2º ANO'!$C$17</f>
        <v>200</v>
      </c>
      <c r="I19" s="337"/>
    </row>
    <row r="20" spans="1:9" ht="12.75" customHeight="1">
      <c r="A20" s="43">
        <v>7</v>
      </c>
      <c r="B20" s="284" t="s">
        <v>75</v>
      </c>
      <c r="C20" s="284"/>
      <c r="D20" s="284"/>
      <c r="E20" s="284"/>
      <c r="F20" s="284"/>
      <c r="G20" s="284"/>
      <c r="H20" s="336">
        <f>'DADOS BÁSICOS 2º ANO'!$F$17</f>
        <v>22</v>
      </c>
      <c r="I20" s="337"/>
    </row>
    <row r="21" spans="1:9">
      <c r="A21" s="44" t="s">
        <v>76</v>
      </c>
      <c r="B21" s="38"/>
      <c r="C21" s="38"/>
      <c r="D21" s="38"/>
      <c r="E21" s="38"/>
      <c r="F21" s="38"/>
      <c r="G21" s="38"/>
      <c r="H21" s="39"/>
      <c r="I21" s="40"/>
    </row>
    <row r="22" spans="1:9" ht="12.75" customHeight="1">
      <c r="A22" s="45">
        <v>1</v>
      </c>
      <c r="B22" s="288" t="s">
        <v>77</v>
      </c>
      <c r="C22" s="288"/>
      <c r="D22" s="288"/>
      <c r="E22" s="288"/>
      <c r="F22" s="288"/>
      <c r="G22" s="288"/>
      <c r="H22" s="46" t="s">
        <v>78</v>
      </c>
      <c r="I22" s="47" t="s">
        <v>79</v>
      </c>
    </row>
    <row r="23" spans="1:9" ht="12.75" customHeight="1">
      <c r="A23" s="36" t="s">
        <v>58</v>
      </c>
      <c r="B23" s="286" t="s">
        <v>235</v>
      </c>
      <c r="C23" s="286"/>
      <c r="D23" s="286"/>
      <c r="E23" s="286"/>
      <c r="F23" s="286"/>
      <c r="G23" s="286"/>
      <c r="H23" s="48"/>
      <c r="I23" s="57">
        <f>H17/'DADOS BÁSICOS 2º ANO'!G8*'MEMÓRIA DE CÁLCULO REF 4º ANO'!H19</f>
        <v>1378.78</v>
      </c>
    </row>
    <row r="24" spans="1:9" ht="12.75" customHeight="1">
      <c r="A24" s="36" t="s">
        <v>60</v>
      </c>
      <c r="B24" s="335" t="s">
        <v>80</v>
      </c>
      <c r="C24" s="335"/>
      <c r="D24" s="335"/>
      <c r="E24" s="335"/>
      <c r="F24" s="335"/>
      <c r="G24" s="335"/>
      <c r="H24" s="50">
        <v>0.3</v>
      </c>
      <c r="I24" s="71">
        <f>I23*H24</f>
        <v>413.63</v>
      </c>
    </row>
    <row r="25" spans="1:9" s="55" customFormat="1" ht="12.75" customHeight="1">
      <c r="A25" s="52" t="s">
        <v>62</v>
      </c>
      <c r="B25" s="335" t="s">
        <v>81</v>
      </c>
      <c r="C25" s="335"/>
      <c r="D25" s="335"/>
      <c r="E25" s="335"/>
      <c r="F25" s="335"/>
      <c r="G25" s="335"/>
      <c r="H25" s="53"/>
      <c r="I25" s="54"/>
    </row>
    <row r="26" spans="1:9" s="55" customFormat="1" ht="12.75" customHeight="1">
      <c r="A26" s="52" t="s">
        <v>64</v>
      </c>
      <c r="B26" s="286" t="s">
        <v>82</v>
      </c>
      <c r="C26" s="286"/>
      <c r="D26" s="286"/>
      <c r="E26" s="286"/>
      <c r="F26" s="286"/>
      <c r="G26" s="286"/>
      <c r="H26" s="56"/>
      <c r="I26" s="57"/>
    </row>
    <row r="27" spans="1:9" s="55" customFormat="1" ht="12.75" customHeight="1">
      <c r="A27" s="52" t="s">
        <v>66</v>
      </c>
      <c r="B27" s="286" t="s">
        <v>83</v>
      </c>
      <c r="C27" s="286"/>
      <c r="D27" s="286"/>
      <c r="E27" s="326"/>
      <c r="F27" s="326"/>
      <c r="G27" s="326"/>
      <c r="H27" s="58"/>
      <c r="I27" s="57"/>
    </row>
    <row r="28" spans="1:9" s="55" customFormat="1" ht="12.75" customHeight="1">
      <c r="A28" s="59" t="s">
        <v>84</v>
      </c>
      <c r="B28" s="327" t="s">
        <v>171</v>
      </c>
      <c r="C28" s="328"/>
      <c r="D28" s="328"/>
      <c r="E28" s="329" t="s">
        <v>172</v>
      </c>
      <c r="F28" s="330"/>
      <c r="G28" s="331"/>
      <c r="H28" s="60">
        <f>'DADOS BÁSICOS 2º ANO'!$C$22</f>
        <v>1.05</v>
      </c>
      <c r="I28" s="57">
        <f>(((I23+I24)/H19)*(1.5))*H28</f>
        <v>14.12</v>
      </c>
    </row>
    <row r="29" spans="1:9" s="55" customFormat="1" ht="12.75" customHeight="1">
      <c r="A29" s="332" t="s">
        <v>85</v>
      </c>
      <c r="B29" s="332"/>
      <c r="C29" s="332"/>
      <c r="D29" s="332"/>
      <c r="E29" s="333"/>
      <c r="F29" s="333"/>
      <c r="G29" s="333"/>
      <c r="H29" s="61"/>
      <c r="I29" s="62">
        <f>SUM(I23:I28)</f>
        <v>1806.53</v>
      </c>
    </row>
    <row r="30" spans="1:9">
      <c r="A30" s="37" t="s">
        <v>86</v>
      </c>
      <c r="B30" s="63"/>
      <c r="C30" s="63"/>
      <c r="D30" s="63"/>
      <c r="E30" s="63"/>
      <c r="F30" s="63"/>
      <c r="G30" s="63"/>
      <c r="H30" s="64"/>
      <c r="I30" s="65"/>
    </row>
    <row r="31" spans="1:9" ht="18" customHeight="1">
      <c r="A31" s="66" t="s">
        <v>87</v>
      </c>
      <c r="B31" s="334" t="s">
        <v>88</v>
      </c>
      <c r="C31" s="334"/>
      <c r="D31" s="334"/>
      <c r="E31" s="334"/>
      <c r="F31" s="334"/>
      <c r="G31" s="334"/>
      <c r="H31" s="67" t="s">
        <v>89</v>
      </c>
      <c r="I31" s="68" t="s">
        <v>79</v>
      </c>
    </row>
    <row r="32" spans="1:9">
      <c r="A32" s="69" t="s">
        <v>58</v>
      </c>
      <c r="B32" s="286" t="s">
        <v>90</v>
      </c>
      <c r="C32" s="286"/>
      <c r="D32" s="286"/>
      <c r="E32" s="286"/>
      <c r="F32" s="286"/>
      <c r="G32" s="286"/>
      <c r="H32" s="70">
        <f>1/12</f>
        <v>8.3299999999999999E-2</v>
      </c>
      <c r="I32" s="71">
        <f>I$29*H$32</f>
        <v>150.47999999999999</v>
      </c>
    </row>
    <row r="33" spans="1:22">
      <c r="A33" s="69" t="s">
        <v>60</v>
      </c>
      <c r="B33" s="286" t="s">
        <v>91</v>
      </c>
      <c r="C33" s="286"/>
      <c r="D33" s="286"/>
      <c r="E33" s="286"/>
      <c r="F33" s="286"/>
      <c r="G33" s="286"/>
      <c r="H33" s="70">
        <f>SUM(H34:H39)</f>
        <v>0.13639999999999999</v>
      </c>
      <c r="I33" s="71">
        <f>SUM(I34:I39)</f>
        <v>246.41</v>
      </c>
    </row>
    <row r="34" spans="1:22">
      <c r="A34" s="69"/>
      <c r="B34" s="69" t="s">
        <v>183</v>
      </c>
      <c r="C34" s="302" t="s">
        <v>188</v>
      </c>
      <c r="D34" s="303"/>
      <c r="E34" s="303"/>
      <c r="F34" s="303"/>
      <c r="G34" s="284"/>
      <c r="H34" s="70">
        <f>(1/3)/12</f>
        <v>2.7799999999999998E-2</v>
      </c>
      <c r="I34" s="71">
        <f t="shared" ref="I34:I39" si="0">I$29*H34</f>
        <v>50.22</v>
      </c>
    </row>
    <row r="35" spans="1:22" ht="16.5" customHeight="1">
      <c r="A35" s="72"/>
      <c r="B35" s="72" t="s">
        <v>184</v>
      </c>
      <c r="C35" s="320" t="s">
        <v>205</v>
      </c>
      <c r="D35" s="321"/>
      <c r="E35" s="321"/>
      <c r="F35" s="321"/>
      <c r="G35" s="322"/>
      <c r="H35" s="73">
        <f>1/12</f>
        <v>8.3299999999999999E-2</v>
      </c>
      <c r="I35" s="246">
        <f t="shared" si="0"/>
        <v>150.47999999999999</v>
      </c>
    </row>
    <row r="36" spans="1:22" ht="16.5" customHeight="1">
      <c r="A36" s="72"/>
      <c r="B36" s="72" t="s">
        <v>266</v>
      </c>
      <c r="C36" s="320" t="s">
        <v>267</v>
      </c>
      <c r="D36" s="321"/>
      <c r="E36" s="321"/>
      <c r="F36" s="321"/>
      <c r="G36" s="322"/>
      <c r="H36" s="73">
        <f>(1/11)/12</f>
        <v>7.6E-3</v>
      </c>
      <c r="I36" s="74">
        <f t="shared" si="0"/>
        <v>13.73</v>
      </c>
      <c r="J36" s="164"/>
    </row>
    <row r="37" spans="1:22" ht="16.5" customHeight="1">
      <c r="A37" s="76"/>
      <c r="B37" s="76" t="s">
        <v>185</v>
      </c>
      <c r="C37" s="323" t="s">
        <v>206</v>
      </c>
      <c r="D37" s="324"/>
      <c r="E37" s="324"/>
      <c r="F37" s="324"/>
      <c r="G37" s="325"/>
      <c r="H37" s="77">
        <f>((H11/11)/12)/H11</f>
        <v>7.6E-3</v>
      </c>
      <c r="I37" s="226">
        <f t="shared" si="0"/>
        <v>13.73</v>
      </c>
    </row>
    <row r="38" spans="1:22" ht="16.5" customHeight="1">
      <c r="A38" s="76"/>
      <c r="B38" s="76" t="s">
        <v>186</v>
      </c>
      <c r="C38" s="323" t="s">
        <v>207</v>
      </c>
      <c r="D38" s="324"/>
      <c r="E38" s="324"/>
      <c r="F38" s="324"/>
      <c r="G38" s="325"/>
      <c r="H38" s="77">
        <f>H37/3</f>
        <v>2.5000000000000001E-3</v>
      </c>
      <c r="I38" s="226">
        <f t="shared" si="0"/>
        <v>4.5199999999999996</v>
      </c>
    </row>
    <row r="39" spans="1:22">
      <c r="A39" s="76"/>
      <c r="B39" s="76" t="s">
        <v>187</v>
      </c>
      <c r="C39" s="323" t="s">
        <v>208</v>
      </c>
      <c r="D39" s="324"/>
      <c r="E39" s="324"/>
      <c r="F39" s="324"/>
      <c r="G39" s="325"/>
      <c r="H39" s="77">
        <f>((H11/11)/12)/H11</f>
        <v>7.6E-3</v>
      </c>
      <c r="I39" s="226">
        <f t="shared" si="0"/>
        <v>13.73</v>
      </c>
    </row>
    <row r="40" spans="1:22">
      <c r="A40" s="287" t="s">
        <v>85</v>
      </c>
      <c r="B40" s="287"/>
      <c r="C40" s="287"/>
      <c r="D40" s="287"/>
      <c r="E40" s="287"/>
      <c r="F40" s="287"/>
      <c r="G40" s="287"/>
      <c r="H40" s="79">
        <f>SUM(H32:H33)</f>
        <v>0.21970000000000001</v>
      </c>
      <c r="I40" s="80">
        <f>SUM(I32:I33)</f>
        <v>396.89</v>
      </c>
    </row>
    <row r="41" spans="1:22">
      <c r="A41" s="304" t="s">
        <v>92</v>
      </c>
      <c r="B41" s="304"/>
      <c r="C41" s="304"/>
      <c r="D41" s="304"/>
      <c r="E41" s="304"/>
      <c r="F41" s="304"/>
      <c r="G41" s="304"/>
      <c r="H41" s="81" t="s">
        <v>93</v>
      </c>
      <c r="I41" s="82">
        <f>I29</f>
        <v>1806.53</v>
      </c>
      <c r="V41" s="271"/>
    </row>
    <row r="42" spans="1:22">
      <c r="A42" s="304"/>
      <c r="B42" s="304"/>
      <c r="C42" s="304"/>
      <c r="D42" s="304"/>
      <c r="E42" s="304"/>
      <c r="F42" s="304"/>
      <c r="G42" s="304"/>
      <c r="H42" s="81" t="s">
        <v>99</v>
      </c>
      <c r="I42" s="82">
        <f>I40</f>
        <v>396.89</v>
      </c>
    </row>
    <row r="43" spans="1:22" ht="33" customHeight="1">
      <c r="A43" s="304"/>
      <c r="B43" s="304"/>
      <c r="C43" s="304"/>
      <c r="D43" s="304"/>
      <c r="E43" s="304"/>
      <c r="F43" s="304"/>
      <c r="G43" s="304"/>
      <c r="H43" s="81" t="s">
        <v>85</v>
      </c>
      <c r="I43" s="82">
        <f>SUM(I41:I42)</f>
        <v>2203.42</v>
      </c>
    </row>
    <row r="44" spans="1:22" ht="19.5" customHeight="1">
      <c r="A44" s="37" t="s">
        <v>105</v>
      </c>
      <c r="B44" s="63"/>
      <c r="C44" s="63"/>
      <c r="D44" s="63"/>
      <c r="E44" s="63"/>
      <c r="F44" s="63"/>
      <c r="G44" s="63"/>
      <c r="H44" s="64"/>
      <c r="I44" s="65"/>
    </row>
    <row r="45" spans="1:22" ht="12.75" customHeight="1">
      <c r="A45" s="83" t="s">
        <v>106</v>
      </c>
      <c r="B45" s="288" t="s">
        <v>107</v>
      </c>
      <c r="C45" s="288"/>
      <c r="D45" s="288"/>
      <c r="E45" s="288"/>
      <c r="F45" s="288"/>
      <c r="G45" s="288"/>
      <c r="H45" s="67" t="s">
        <v>89</v>
      </c>
      <c r="I45" s="84" t="s">
        <v>79</v>
      </c>
      <c r="O45" s="164"/>
    </row>
    <row r="46" spans="1:22" ht="12.75" customHeight="1">
      <c r="A46" s="85" t="s">
        <v>58</v>
      </c>
      <c r="B46" s="286" t="s">
        <v>32</v>
      </c>
      <c r="C46" s="286"/>
      <c r="D46" s="286"/>
      <c r="E46" s="286"/>
      <c r="F46" s="286"/>
      <c r="G46" s="286"/>
      <c r="H46" s="50">
        <f>IF('DADOS BÁSICOS 2º ANO'!$B$25="LUCRO PRESUMIDO",'DADOS BÁSICOS 2º ANO'!$B$29,'DADOS BÁSICOS 2º ANO'!$C$29)</f>
        <v>0.2</v>
      </c>
      <c r="I46" s="71">
        <f>I43*H46</f>
        <v>440.68</v>
      </c>
      <c r="O46" s="164"/>
    </row>
    <row r="47" spans="1:22" ht="17.25" customHeight="1">
      <c r="A47" s="85" t="s">
        <v>60</v>
      </c>
      <c r="B47" s="286" t="s">
        <v>108</v>
      </c>
      <c r="C47" s="286"/>
      <c r="D47" s="286"/>
      <c r="E47" s="286"/>
      <c r="F47" s="286"/>
      <c r="G47" s="286"/>
      <c r="H47" s="50">
        <f>IF('DADOS BÁSICOS 2º ANO'!$B$25="LUCRO PRESUMIDO",'DADOS BÁSICOS 2º ANO'!$B$30,'DADOS BÁSICOS 2º ANO'!$C$30)</f>
        <v>2.5000000000000001E-2</v>
      </c>
      <c r="I47" s="71">
        <f>I43*H47</f>
        <v>55.09</v>
      </c>
    </row>
    <row r="48" spans="1:22" ht="12.75" customHeight="1">
      <c r="A48" s="85" t="s">
        <v>62</v>
      </c>
      <c r="B48" s="286" t="s">
        <v>109</v>
      </c>
      <c r="C48" s="286"/>
      <c r="D48" s="286"/>
      <c r="E48" s="286"/>
      <c r="F48" s="286"/>
      <c r="G48" s="286"/>
      <c r="H48" s="50">
        <f>IF('DADOS BÁSICOS 2º ANO'!$B$25="LUCRO PRESUMIDO",'DADOS BÁSICOS 2º ANO'!$B$31,'DADOS BÁSICOS 2º ANO'!$C$31)</f>
        <v>0.03</v>
      </c>
      <c r="I48" s="71">
        <f>I43*H48</f>
        <v>66.099999999999994</v>
      </c>
    </row>
    <row r="49" spans="1:10" ht="12.75" customHeight="1">
      <c r="A49" s="85" t="s">
        <v>64</v>
      </c>
      <c r="B49" s="286" t="s">
        <v>35</v>
      </c>
      <c r="C49" s="286"/>
      <c r="D49" s="286"/>
      <c r="E49" s="286"/>
      <c r="F49" s="286"/>
      <c r="G49" s="286"/>
      <c r="H49" s="50">
        <f>IF('DADOS BÁSICOS 2º ANO'!$B$25="LUCRO PRESUMIDO",'DADOS BÁSICOS 2º ANO'!$B$32,'DADOS BÁSICOS 2º ANO'!$C$32)</f>
        <v>1.4999999999999999E-2</v>
      </c>
      <c r="I49" s="71">
        <f>I43*H49</f>
        <v>33.049999999999997</v>
      </c>
    </row>
    <row r="50" spans="1:10" ht="12.75" customHeight="1">
      <c r="A50" s="85" t="s">
        <v>66</v>
      </c>
      <c r="B50" s="286" t="s">
        <v>36</v>
      </c>
      <c r="C50" s="286"/>
      <c r="D50" s="286"/>
      <c r="E50" s="286"/>
      <c r="F50" s="286"/>
      <c r="G50" s="286"/>
      <c r="H50" s="50">
        <f>IF('DADOS BÁSICOS 2º ANO'!$B$25="LUCRO PRESUMIDO",'DADOS BÁSICOS 2º ANO'!$B$33,'DADOS BÁSICOS 2º ANO'!$C$33)</f>
        <v>0.01</v>
      </c>
      <c r="I50" s="71">
        <f>I43*H50</f>
        <v>22.03</v>
      </c>
    </row>
    <row r="51" spans="1:10" ht="12.75" customHeight="1">
      <c r="A51" s="85" t="s">
        <v>84</v>
      </c>
      <c r="B51" s="286" t="s">
        <v>37</v>
      </c>
      <c r="C51" s="286"/>
      <c r="D51" s="286"/>
      <c r="E51" s="286"/>
      <c r="F51" s="286"/>
      <c r="G51" s="286"/>
      <c r="H51" s="50">
        <f>IF('DADOS BÁSICOS 2º ANO'!$B$25="LUCRO PRESUMIDO",'DADOS BÁSICOS 2º ANO'!$B$34,'DADOS BÁSICOS 2º ANO'!$C$34)</f>
        <v>6.0000000000000001E-3</v>
      </c>
      <c r="I51" s="71">
        <f>I43*H51</f>
        <v>13.22</v>
      </c>
    </row>
    <row r="52" spans="1:10" ht="12.75" customHeight="1">
      <c r="A52" s="85" t="s">
        <v>110</v>
      </c>
      <c r="B52" s="286" t="s">
        <v>38</v>
      </c>
      <c r="C52" s="286"/>
      <c r="D52" s="286"/>
      <c r="E52" s="286"/>
      <c r="F52" s="286"/>
      <c r="G52" s="286"/>
      <c r="H52" s="50">
        <f>IF('DADOS BÁSICOS 2º ANO'!$B$25="LUCRO PRESUMIDO",'DADOS BÁSICOS 2º ANO'!$B$35,'DADOS BÁSICOS 2º ANO'!$C$35)</f>
        <v>2E-3</v>
      </c>
      <c r="I52" s="71">
        <f>I43*H52</f>
        <v>4.41</v>
      </c>
    </row>
    <row r="53" spans="1:10" ht="18.75" customHeight="1">
      <c r="A53" s="86" t="s">
        <v>111</v>
      </c>
      <c r="B53" s="286" t="s">
        <v>39</v>
      </c>
      <c r="C53" s="286"/>
      <c r="D53" s="286"/>
      <c r="E53" s="286"/>
      <c r="F53" s="286"/>
      <c r="G53" s="286"/>
      <c r="H53" s="50">
        <f>IF('DADOS BÁSICOS 2º ANO'!$B$25="LUCRO PRESUMIDO",'DADOS BÁSICOS 2º ANO'!$B$36,'DADOS BÁSICOS 2º ANO'!$C$36)</f>
        <v>0.08</v>
      </c>
      <c r="I53" s="71">
        <f>I43*H53</f>
        <v>176.27</v>
      </c>
    </row>
    <row r="54" spans="1:10" ht="33" customHeight="1">
      <c r="A54" s="287" t="s">
        <v>85</v>
      </c>
      <c r="B54" s="287"/>
      <c r="C54" s="287"/>
      <c r="D54" s="287"/>
      <c r="E54" s="287"/>
      <c r="F54" s="287"/>
      <c r="G54" s="287"/>
      <c r="H54" s="87">
        <f>SUM(H46:H53)</f>
        <v>0.36799999999999999</v>
      </c>
      <c r="I54" s="80">
        <f t="shared" ref="I54" si="1">SUM(I46:I53)</f>
        <v>810.85</v>
      </c>
    </row>
    <row r="55" spans="1:10" ht="17.25" customHeight="1">
      <c r="A55" s="88" t="s">
        <v>112</v>
      </c>
      <c r="B55" s="88"/>
      <c r="C55" s="88"/>
      <c r="D55" s="88"/>
      <c r="E55" s="88"/>
      <c r="F55" s="88"/>
      <c r="G55" s="88"/>
      <c r="H55" s="89"/>
      <c r="I55" s="90"/>
    </row>
    <row r="56" spans="1:10">
      <c r="A56" s="83" t="s">
        <v>113</v>
      </c>
      <c r="B56" s="316" t="s">
        <v>114</v>
      </c>
      <c r="C56" s="316"/>
      <c r="D56" s="316"/>
      <c r="E56" s="316"/>
      <c r="F56" s="316"/>
      <c r="G56" s="316"/>
      <c r="H56" s="39"/>
      <c r="I56" s="91" t="s">
        <v>79</v>
      </c>
    </row>
    <row r="57" spans="1:10" ht="24.75" customHeight="1">
      <c r="A57" s="69" t="s">
        <v>58</v>
      </c>
      <c r="B57" s="294" t="s">
        <v>115</v>
      </c>
      <c r="C57" s="294"/>
      <c r="D57" s="294"/>
      <c r="E57" s="294"/>
      <c r="F57" s="294"/>
      <c r="G57" s="294"/>
      <c r="H57" s="92"/>
      <c r="I57" s="317">
        <f>IF((H58*H59)-(I23*H60)&gt;0,((H58*H59)-(I23*H60)),0)</f>
        <v>115.27</v>
      </c>
    </row>
    <row r="58" spans="1:10" ht="12.75" customHeight="1">
      <c r="A58" s="69"/>
      <c r="B58" s="286" t="s">
        <v>116</v>
      </c>
      <c r="C58" s="286"/>
      <c r="D58" s="286"/>
      <c r="E58" s="286"/>
      <c r="F58" s="286"/>
      <c r="G58" s="286"/>
      <c r="H58" s="93">
        <f>'DADOS BÁSICOS 2º ANO'!P8</f>
        <v>4.5</v>
      </c>
      <c r="I58" s="318"/>
    </row>
    <row r="59" spans="1:10" ht="12.75" customHeight="1">
      <c r="A59" s="94"/>
      <c r="B59" s="286" t="s">
        <v>117</v>
      </c>
      <c r="C59" s="286"/>
      <c r="D59" s="286"/>
      <c r="E59" s="286"/>
      <c r="F59" s="286"/>
      <c r="G59" s="286"/>
      <c r="H59" s="95">
        <f>'DADOS BÁSICOS 2º ANO'!$O8</f>
        <v>44</v>
      </c>
      <c r="I59" s="318"/>
    </row>
    <row r="60" spans="1:10" ht="15" customHeight="1">
      <c r="A60" s="69"/>
      <c r="B60" s="286" t="s">
        <v>118</v>
      </c>
      <c r="C60" s="286"/>
      <c r="D60" s="286"/>
      <c r="E60" s="286"/>
      <c r="F60" s="286"/>
      <c r="G60" s="286"/>
      <c r="H60" s="96">
        <v>0.06</v>
      </c>
      <c r="I60" s="319"/>
    </row>
    <row r="61" spans="1:10" ht="15" customHeight="1">
      <c r="A61" s="69" t="s">
        <v>60</v>
      </c>
      <c r="B61" s="286" t="s">
        <v>119</v>
      </c>
      <c r="C61" s="286"/>
      <c r="D61" s="286"/>
      <c r="E61" s="286"/>
      <c r="F61" s="286"/>
      <c r="G61" s="286"/>
      <c r="H61" s="97"/>
      <c r="I61" s="313">
        <f>H62-(H62*H64)</f>
        <v>360</v>
      </c>
      <c r="J61" s="99"/>
    </row>
    <row r="62" spans="1:10" ht="15" customHeight="1">
      <c r="A62" s="69"/>
      <c r="B62" s="286" t="s">
        <v>256</v>
      </c>
      <c r="C62" s="286"/>
      <c r="D62" s="286"/>
      <c r="E62" s="286"/>
      <c r="F62" s="286"/>
      <c r="G62" s="286"/>
      <c r="H62" s="98">
        <f>'DADOS BÁSICOS 2º ANO'!I8</f>
        <v>450</v>
      </c>
      <c r="I62" s="314"/>
      <c r="J62" s="99"/>
    </row>
    <row r="63" spans="1:10" ht="15" customHeight="1">
      <c r="A63" s="69"/>
      <c r="B63" s="286" t="s">
        <v>258</v>
      </c>
      <c r="C63" s="286"/>
      <c r="D63" s="286"/>
      <c r="E63" s="286"/>
      <c r="F63" s="286"/>
      <c r="G63" s="286"/>
      <c r="H63" s="100"/>
      <c r="I63" s="314"/>
    </row>
    <row r="64" spans="1:10" ht="17.25" customHeight="1">
      <c r="A64" s="69"/>
      <c r="B64" s="286" t="s">
        <v>257</v>
      </c>
      <c r="C64" s="286"/>
      <c r="D64" s="286"/>
      <c r="E64" s="286"/>
      <c r="F64" s="286"/>
      <c r="G64" s="286"/>
      <c r="H64" s="101">
        <f>'DADOS BÁSICOS 2º ANO'!$N8</f>
        <v>0.2</v>
      </c>
      <c r="I64" s="315"/>
    </row>
    <row r="65" spans="1:23" ht="16" customHeight="1">
      <c r="A65" s="69" t="s">
        <v>62</v>
      </c>
      <c r="B65" s="286" t="str">
        <f>'DADOS BÁSICOS 2º ANO'!$J$7</f>
        <v>Auxílio Saúde</v>
      </c>
      <c r="C65" s="286"/>
      <c r="D65" s="286"/>
      <c r="E65" s="286"/>
      <c r="F65" s="286"/>
      <c r="G65" s="286"/>
      <c r="H65" s="102"/>
      <c r="I65" s="57">
        <f>'DADOS BÁSICOS 2º ANO'!$J$8</f>
        <v>64</v>
      </c>
    </row>
    <row r="66" spans="1:23" ht="15" customHeight="1">
      <c r="A66" s="69" t="s">
        <v>64</v>
      </c>
      <c r="B66" s="286" t="str">
        <f>'DADOS BÁSICOS 2º ANO'!$K$7</f>
        <v>Benefício Familiar</v>
      </c>
      <c r="C66" s="286"/>
      <c r="D66" s="286"/>
      <c r="E66" s="286"/>
      <c r="F66" s="286"/>
      <c r="G66" s="286"/>
      <c r="H66" s="103"/>
      <c r="I66" s="104">
        <f>'DADOS BÁSICOS 2º ANO'!$K$8</f>
        <v>21</v>
      </c>
    </row>
    <row r="67" spans="1:23" ht="18" customHeight="1">
      <c r="A67" s="69" t="s">
        <v>66</v>
      </c>
      <c r="B67" s="286" t="str">
        <f>'DADOS BÁSICOS 2º ANO'!$L$7</f>
        <v>Fundo de Fomação Profissional</v>
      </c>
      <c r="C67" s="286"/>
      <c r="D67" s="286"/>
      <c r="E67" s="286"/>
      <c r="F67" s="286"/>
      <c r="G67" s="286"/>
      <c r="H67" s="102"/>
      <c r="I67" s="104">
        <f>'DADOS BÁSICOS 2º ANO'!$L$8</f>
        <v>21</v>
      </c>
    </row>
    <row r="68" spans="1:23" ht="18" customHeight="1">
      <c r="A68" s="72" t="s">
        <v>84</v>
      </c>
      <c r="B68" s="312" t="s">
        <v>200</v>
      </c>
      <c r="C68" s="312"/>
      <c r="D68" s="312"/>
      <c r="E68" s="312"/>
      <c r="F68" s="312"/>
      <c r="G68" s="312"/>
      <c r="H68" s="105">
        <f>1/12</f>
        <v>8.3299999999999999E-2</v>
      </c>
      <c r="I68" s="107">
        <f>I61*H68</f>
        <v>29.99</v>
      </c>
    </row>
    <row r="69" spans="1:23" ht="18" customHeight="1">
      <c r="A69" s="72" t="s">
        <v>268</v>
      </c>
      <c r="B69" s="312" t="s">
        <v>269</v>
      </c>
      <c r="C69" s="312"/>
      <c r="D69" s="312"/>
      <c r="E69" s="312"/>
      <c r="F69" s="312"/>
      <c r="G69" s="312"/>
      <c r="H69" s="105">
        <f>(1/11)/12</f>
        <v>7.6E-3</v>
      </c>
      <c r="I69" s="107">
        <f>I61*H69</f>
        <v>2.74</v>
      </c>
    </row>
    <row r="70" spans="1:23" ht="18" customHeight="1">
      <c r="A70" s="108" t="s">
        <v>110</v>
      </c>
      <c r="B70" s="297" t="s">
        <v>201</v>
      </c>
      <c r="C70" s="297"/>
      <c r="D70" s="297"/>
      <c r="E70" s="297"/>
      <c r="F70" s="297"/>
      <c r="G70" s="297"/>
      <c r="H70" s="109">
        <f>((H11/11)/12)/H11</f>
        <v>7.6E-3</v>
      </c>
      <c r="I70" s="225">
        <f>I61*H70</f>
        <v>2.74</v>
      </c>
    </row>
    <row r="71" spans="1:23" ht="18" customHeight="1">
      <c r="A71" s="76" t="s">
        <v>111</v>
      </c>
      <c r="B71" s="310" t="s">
        <v>202</v>
      </c>
      <c r="C71" s="310"/>
      <c r="D71" s="310"/>
      <c r="E71" s="310"/>
      <c r="F71" s="310"/>
      <c r="G71" s="310"/>
      <c r="H71" s="111">
        <f>(H$11/11)/H$11</f>
        <v>9.0899999999999995E-2</v>
      </c>
      <c r="I71" s="226">
        <f>I65*H71</f>
        <v>5.82</v>
      </c>
    </row>
    <row r="72" spans="1:23" ht="18" customHeight="1">
      <c r="A72" s="76" t="s">
        <v>198</v>
      </c>
      <c r="B72" s="310" t="s">
        <v>203</v>
      </c>
      <c r="C72" s="310"/>
      <c r="D72" s="310"/>
      <c r="E72" s="310"/>
      <c r="F72" s="310"/>
      <c r="G72" s="310"/>
      <c r="H72" s="111">
        <f t="shared" ref="H72:H73" si="2">(H$11/11)/H$11</f>
        <v>9.0899999999999995E-2</v>
      </c>
      <c r="I72" s="226">
        <f>I66*H72</f>
        <v>1.91</v>
      </c>
    </row>
    <row r="73" spans="1:23" ht="19.5" customHeight="1">
      <c r="A73" s="76" t="s">
        <v>199</v>
      </c>
      <c r="B73" s="310" t="s">
        <v>204</v>
      </c>
      <c r="C73" s="310"/>
      <c r="D73" s="310"/>
      <c r="E73" s="310"/>
      <c r="F73" s="310"/>
      <c r="G73" s="310"/>
      <c r="H73" s="111">
        <f t="shared" si="2"/>
        <v>9.0899999999999995E-2</v>
      </c>
      <c r="I73" s="226">
        <f>I67*H73</f>
        <v>1.91</v>
      </c>
    </row>
    <row r="74" spans="1:23" ht="30.75" customHeight="1">
      <c r="A74" s="287" t="s">
        <v>85</v>
      </c>
      <c r="B74" s="287"/>
      <c r="C74" s="287"/>
      <c r="D74" s="287"/>
      <c r="E74" s="287"/>
      <c r="F74" s="287"/>
      <c r="G74" s="287"/>
      <c r="H74" s="113"/>
      <c r="I74" s="80">
        <f>SUM(I57:I73)</f>
        <v>626.38</v>
      </c>
    </row>
    <row r="75" spans="1:23" ht="20.25" customHeight="1">
      <c r="A75" s="37" t="s">
        <v>120</v>
      </c>
      <c r="B75" s="63"/>
      <c r="C75" s="63"/>
      <c r="D75" s="63"/>
      <c r="E75" s="63"/>
      <c r="F75" s="63"/>
      <c r="G75" s="63"/>
      <c r="H75" s="64"/>
      <c r="I75" s="65"/>
    </row>
    <row r="76" spans="1:23" ht="12.75" customHeight="1">
      <c r="A76" s="114">
        <v>2</v>
      </c>
      <c r="B76" s="311" t="s">
        <v>121</v>
      </c>
      <c r="C76" s="311"/>
      <c r="D76" s="311"/>
      <c r="E76" s="311"/>
      <c r="F76" s="311"/>
      <c r="G76" s="311"/>
      <c r="H76" s="115"/>
      <c r="I76" s="116" t="s">
        <v>79</v>
      </c>
    </row>
    <row r="77" spans="1:23" ht="12.75" customHeight="1">
      <c r="A77" s="69" t="s">
        <v>87</v>
      </c>
      <c r="B77" s="286" t="s">
        <v>88</v>
      </c>
      <c r="C77" s="286"/>
      <c r="D77" s="286"/>
      <c r="E77" s="286"/>
      <c r="F77" s="286"/>
      <c r="G77" s="286"/>
      <c r="H77" s="48"/>
      <c r="I77" s="71">
        <f>I40</f>
        <v>396.89</v>
      </c>
    </row>
    <row r="78" spans="1:23" ht="12.75" customHeight="1">
      <c r="A78" s="69" t="s">
        <v>106</v>
      </c>
      <c r="B78" s="286" t="s">
        <v>107</v>
      </c>
      <c r="C78" s="286"/>
      <c r="D78" s="286"/>
      <c r="E78" s="286"/>
      <c r="F78" s="286"/>
      <c r="G78" s="286"/>
      <c r="H78" s="48"/>
      <c r="I78" s="71">
        <f>I54</f>
        <v>810.85</v>
      </c>
    </row>
    <row r="79" spans="1:23">
      <c r="A79" s="69" t="s">
        <v>113</v>
      </c>
      <c r="B79" s="286" t="s">
        <v>114</v>
      </c>
      <c r="C79" s="286"/>
      <c r="D79" s="286"/>
      <c r="E79" s="286"/>
      <c r="F79" s="286"/>
      <c r="G79" s="286"/>
      <c r="H79" s="48"/>
      <c r="I79" s="71">
        <f>I74</f>
        <v>626.38</v>
      </c>
      <c r="W79" s="271"/>
    </row>
    <row r="80" spans="1:23" ht="26.25" customHeight="1">
      <c r="A80" s="304" t="s">
        <v>85</v>
      </c>
      <c r="B80" s="304"/>
      <c r="C80" s="304"/>
      <c r="D80" s="304"/>
      <c r="E80" s="304"/>
      <c r="F80" s="304"/>
      <c r="G80" s="304"/>
      <c r="H80" s="117"/>
      <c r="I80" s="82">
        <f>SUM(I77:I79)</f>
        <v>1834.12</v>
      </c>
    </row>
    <row r="81" spans="1:9" ht="26.25" customHeight="1">
      <c r="A81" s="37" t="s">
        <v>122</v>
      </c>
      <c r="B81" s="118"/>
      <c r="C81" s="118"/>
      <c r="D81" s="118"/>
      <c r="E81" s="118"/>
      <c r="F81" s="118"/>
      <c r="G81" s="118"/>
      <c r="H81" s="64"/>
      <c r="I81" s="65"/>
    </row>
    <row r="82" spans="1:9" ht="16.5" customHeight="1">
      <c r="A82" s="119">
        <v>3</v>
      </c>
      <c r="B82" s="305" t="s">
        <v>123</v>
      </c>
      <c r="C82" s="305"/>
      <c r="D82" s="305"/>
      <c r="E82" s="305"/>
      <c r="F82" s="305"/>
      <c r="G82" s="305"/>
      <c r="H82" s="120" t="s">
        <v>89</v>
      </c>
      <c r="I82" s="47" t="s">
        <v>79</v>
      </c>
    </row>
    <row r="83" spans="1:9">
      <c r="A83" s="121" t="s">
        <v>58</v>
      </c>
      <c r="B83" s="306" t="s">
        <v>124</v>
      </c>
      <c r="C83" s="307"/>
      <c r="D83" s="307"/>
      <c r="E83" s="307"/>
      <c r="F83" s="307"/>
      <c r="G83" s="308"/>
      <c r="H83" s="122">
        <f>((100%/12)*'DADOS BÁSICOS 2º ANO'!$Q8)/10</f>
        <v>2.8E-3</v>
      </c>
      <c r="I83" s="123">
        <f>H83*I$43</f>
        <v>6.17</v>
      </c>
    </row>
    <row r="84" spans="1:9" ht="12.75" customHeight="1">
      <c r="A84" s="69" t="s">
        <v>60</v>
      </c>
      <c r="B84" s="294" t="s">
        <v>125</v>
      </c>
      <c r="C84" s="294"/>
      <c r="D84" s="294"/>
      <c r="E84" s="294"/>
      <c r="F84" s="294"/>
      <c r="G84" s="294"/>
      <c r="H84" s="124">
        <v>0.08</v>
      </c>
      <c r="I84" s="125">
        <f>I83*H84</f>
        <v>0.49</v>
      </c>
    </row>
    <row r="85" spans="1:9" ht="17.25" customHeight="1">
      <c r="A85" s="126" t="s">
        <v>62</v>
      </c>
      <c r="B85" s="302" t="s">
        <v>126</v>
      </c>
      <c r="C85" s="303"/>
      <c r="D85" s="303"/>
      <c r="E85" s="303"/>
      <c r="F85" s="303"/>
      <c r="G85" s="284"/>
      <c r="H85" s="127">
        <f>8%*40%*'DADOS BÁSICOS 2º ANO'!$Q8</f>
        <v>1.0800000000000001E-2</v>
      </c>
      <c r="I85" s="125">
        <f>I$43*H85</f>
        <v>23.8</v>
      </c>
    </row>
    <row r="86" spans="1:9">
      <c r="A86" s="128" t="s">
        <v>64</v>
      </c>
      <c r="B86" s="309" t="s">
        <v>127</v>
      </c>
      <c r="C86" s="309"/>
      <c r="D86" s="309"/>
      <c r="E86" s="309"/>
      <c r="F86" s="309"/>
      <c r="G86" s="309"/>
      <c r="H86" s="247">
        <f>((7/30)/12)/10</f>
        <v>1.944E-3</v>
      </c>
      <c r="I86" s="248">
        <f>H86*I$43</f>
        <v>4.28</v>
      </c>
    </row>
    <row r="87" spans="1:9" ht="12.75" customHeight="1">
      <c r="A87" s="69" t="s">
        <v>66</v>
      </c>
      <c r="B87" s="294" t="s">
        <v>128</v>
      </c>
      <c r="C87" s="294"/>
      <c r="D87" s="294"/>
      <c r="E87" s="294"/>
      <c r="F87" s="294"/>
      <c r="G87" s="294"/>
      <c r="H87" s="124">
        <f>H54</f>
        <v>0.36799999999999999</v>
      </c>
      <c r="I87" s="131">
        <f>H87*I86</f>
        <v>1.58</v>
      </c>
    </row>
    <row r="88" spans="1:9">
      <c r="A88" s="126" t="s">
        <v>84</v>
      </c>
      <c r="B88" s="302" t="s">
        <v>129</v>
      </c>
      <c r="C88" s="303"/>
      <c r="D88" s="303"/>
      <c r="E88" s="303"/>
      <c r="F88" s="303"/>
      <c r="G88" s="284"/>
      <c r="H88" s="127">
        <f>8%*40%*'DADOS BÁSICOS 2º ANO'!$R8</f>
        <v>1.0800000000000001E-2</v>
      </c>
      <c r="I88" s="125">
        <f>I43*H88</f>
        <v>23.8</v>
      </c>
    </row>
    <row r="89" spans="1:9">
      <c r="A89" s="287" t="s">
        <v>85</v>
      </c>
      <c r="B89" s="287"/>
      <c r="C89" s="287"/>
      <c r="D89" s="287"/>
      <c r="E89" s="287"/>
      <c r="F89" s="287"/>
      <c r="G89" s="287"/>
      <c r="H89" s="113"/>
      <c r="I89" s="80">
        <f>SUM(I83:I88)</f>
        <v>60.12</v>
      </c>
    </row>
    <row r="90" spans="1:9">
      <c r="A90" s="304" t="s">
        <v>130</v>
      </c>
      <c r="B90" s="304"/>
      <c r="C90" s="304"/>
      <c r="D90" s="304"/>
      <c r="E90" s="304"/>
      <c r="F90" s="304"/>
      <c r="G90" s="304"/>
      <c r="H90" s="132" t="s">
        <v>93</v>
      </c>
      <c r="I90" s="133">
        <f>I29</f>
        <v>1806.53</v>
      </c>
    </row>
    <row r="91" spans="1:9">
      <c r="A91" s="304"/>
      <c r="B91" s="304"/>
      <c r="C91" s="304"/>
      <c r="D91" s="304"/>
      <c r="E91" s="304"/>
      <c r="F91" s="304"/>
      <c r="G91" s="304"/>
      <c r="H91" s="132" t="s">
        <v>94</v>
      </c>
      <c r="I91" s="133">
        <f>I80</f>
        <v>1834.12</v>
      </c>
    </row>
    <row r="92" spans="1:9">
      <c r="A92" s="304"/>
      <c r="B92" s="304"/>
      <c r="C92" s="304"/>
      <c r="D92" s="304"/>
      <c r="E92" s="304"/>
      <c r="F92" s="304"/>
      <c r="G92" s="304"/>
      <c r="H92" s="132" t="s">
        <v>95</v>
      </c>
      <c r="I92" s="133">
        <f>I89</f>
        <v>60.12</v>
      </c>
    </row>
    <row r="93" spans="1:9" ht="26.25" customHeight="1">
      <c r="A93" s="304"/>
      <c r="B93" s="304"/>
      <c r="C93" s="304"/>
      <c r="D93" s="304"/>
      <c r="E93" s="304"/>
      <c r="F93" s="304"/>
      <c r="G93" s="304"/>
      <c r="H93" s="132" t="s">
        <v>85</v>
      </c>
      <c r="I93" s="133">
        <f>SUM(I90:I92)</f>
        <v>3700.77</v>
      </c>
    </row>
    <row r="94" spans="1:9" s="137" customFormat="1" ht="63.75" customHeight="1">
      <c r="A94" s="37" t="s">
        <v>131</v>
      </c>
      <c r="B94" s="134"/>
      <c r="C94" s="134"/>
      <c r="D94" s="134"/>
      <c r="E94" s="134"/>
      <c r="F94" s="134"/>
      <c r="G94" s="134"/>
      <c r="H94" s="135"/>
      <c r="I94" s="136"/>
    </row>
    <row r="95" spans="1:9" ht="16.5" customHeight="1">
      <c r="A95" s="138" t="s">
        <v>132</v>
      </c>
      <c r="B95" s="63" t="s">
        <v>133</v>
      </c>
      <c r="C95" s="63"/>
      <c r="D95" s="63"/>
      <c r="E95" s="63"/>
      <c r="F95" s="63"/>
      <c r="G95" s="63"/>
      <c r="H95" s="67" t="s">
        <v>134</v>
      </c>
      <c r="I95" s="68" t="s">
        <v>79</v>
      </c>
    </row>
    <row r="96" spans="1:9" ht="16.5" customHeight="1">
      <c r="A96" s="69" t="s">
        <v>58</v>
      </c>
      <c r="B96" s="301" t="s">
        <v>135</v>
      </c>
      <c r="C96" s="301"/>
      <c r="D96" s="301"/>
      <c r="E96" s="301"/>
      <c r="F96" s="301"/>
      <c r="G96" s="301"/>
      <c r="H96" s="139">
        <f>'DADOS BÁSICOS 2º ANO'!$H$59</f>
        <v>4.8734000000000002</v>
      </c>
      <c r="I96" s="71">
        <f>SUM(I97:I104)</f>
        <v>50.1</v>
      </c>
    </row>
    <row r="97" spans="1:9" ht="16.5" customHeight="1">
      <c r="A97" s="140" t="s">
        <v>219</v>
      </c>
      <c r="B97" s="300" t="s">
        <v>211</v>
      </c>
      <c r="C97" s="300"/>
      <c r="D97" s="300"/>
      <c r="E97" s="300"/>
      <c r="F97" s="300"/>
      <c r="G97" s="300"/>
      <c r="H97" s="139">
        <f>'DADOS BÁSICOS 2º ANO'!$H$60</f>
        <v>1</v>
      </c>
      <c r="I97" s="141">
        <f>((I$93/30)*H97)/H$10</f>
        <v>10.28</v>
      </c>
    </row>
    <row r="98" spans="1:9" ht="16.5" customHeight="1">
      <c r="A98" s="140" t="s">
        <v>221</v>
      </c>
      <c r="B98" s="300" t="s">
        <v>212</v>
      </c>
      <c r="C98" s="300"/>
      <c r="D98" s="300"/>
      <c r="E98" s="300"/>
      <c r="F98" s="300"/>
      <c r="G98" s="300"/>
      <c r="H98" s="139">
        <f>'DADOS BÁSICOS 2º ANO'!$H$61</f>
        <v>3.4929999999999999</v>
      </c>
      <c r="I98" s="141">
        <f>((I$93/30)*H98)/H$10</f>
        <v>35.909999999999997</v>
      </c>
    </row>
    <row r="99" spans="1:9" ht="16.5" customHeight="1">
      <c r="A99" s="140" t="s">
        <v>222</v>
      </c>
      <c r="B99" s="300" t="s">
        <v>213</v>
      </c>
      <c r="C99" s="300"/>
      <c r="D99" s="300"/>
      <c r="E99" s="300"/>
      <c r="F99" s="300"/>
      <c r="G99" s="300"/>
      <c r="H99" s="139">
        <f>'DADOS BÁSICOS 2º ANO'!$H$62</f>
        <v>0.26879999999999998</v>
      </c>
      <c r="I99" s="141">
        <f t="shared" ref="I99:I108" si="3">(I$93/30)*(H99/H$10)</f>
        <v>2.76</v>
      </c>
    </row>
    <row r="100" spans="1:9" ht="16.5" customHeight="1">
      <c r="A100" s="140" t="s">
        <v>228</v>
      </c>
      <c r="B100" s="300" t="s">
        <v>214</v>
      </c>
      <c r="C100" s="300"/>
      <c r="D100" s="300"/>
      <c r="E100" s="300"/>
      <c r="F100" s="300"/>
      <c r="G100" s="300"/>
      <c r="H100" s="139">
        <f>'DADOS BÁSICOS 2º ANO'!$H$63</f>
        <v>4.2599999999999999E-2</v>
      </c>
      <c r="I100" s="141">
        <f t="shared" si="3"/>
        <v>0.44</v>
      </c>
    </row>
    <row r="101" spans="1:9" ht="16.5" customHeight="1">
      <c r="A101" s="140" t="s">
        <v>229</v>
      </c>
      <c r="B101" s="300" t="s">
        <v>215</v>
      </c>
      <c r="C101" s="300"/>
      <c r="D101" s="300"/>
      <c r="E101" s="300"/>
      <c r="F101" s="300"/>
      <c r="G101" s="300"/>
      <c r="H101" s="139">
        <f>'DADOS BÁSICOS 2º ANO'!$H$64</f>
        <v>3.5400000000000001E-2</v>
      </c>
      <c r="I101" s="141">
        <f t="shared" si="3"/>
        <v>0.36</v>
      </c>
    </row>
    <row r="102" spans="1:9" ht="16.5" customHeight="1">
      <c r="A102" s="140" t="s">
        <v>230</v>
      </c>
      <c r="B102" s="300" t="s">
        <v>216</v>
      </c>
      <c r="C102" s="300"/>
      <c r="D102" s="300"/>
      <c r="E102" s="300"/>
      <c r="F102" s="300"/>
      <c r="G102" s="300"/>
      <c r="H102" s="139">
        <f>'DADOS BÁSICOS 2º ANO'!$H$65</f>
        <v>0.02</v>
      </c>
      <c r="I102" s="141">
        <f t="shared" si="3"/>
        <v>0.21</v>
      </c>
    </row>
    <row r="103" spans="1:9" ht="16.5" customHeight="1">
      <c r="A103" s="140" t="s">
        <v>231</v>
      </c>
      <c r="B103" s="300" t="s">
        <v>217</v>
      </c>
      <c r="C103" s="300"/>
      <c r="D103" s="300"/>
      <c r="E103" s="300"/>
      <c r="F103" s="300"/>
      <c r="G103" s="300"/>
      <c r="H103" s="139">
        <f>'DADOS BÁSICOS 2º ANO'!$H$66</f>
        <v>4.0000000000000001E-3</v>
      </c>
      <c r="I103" s="141">
        <f t="shared" si="3"/>
        <v>0.04</v>
      </c>
    </row>
    <row r="104" spans="1:9" ht="16.5" customHeight="1">
      <c r="A104" s="140" t="s">
        <v>232</v>
      </c>
      <c r="B104" s="300" t="s">
        <v>218</v>
      </c>
      <c r="C104" s="300"/>
      <c r="D104" s="300"/>
      <c r="E104" s="300"/>
      <c r="F104" s="300"/>
      <c r="G104" s="300"/>
      <c r="H104" s="139">
        <f>'DADOS BÁSICOS 2º ANO'!$H$67</f>
        <v>9.5999999999999992E-3</v>
      </c>
      <c r="I104" s="141">
        <f t="shared" si="3"/>
        <v>0.1</v>
      </c>
    </row>
    <row r="105" spans="1:9" ht="16.5" customHeight="1">
      <c r="A105" s="69" t="s">
        <v>60</v>
      </c>
      <c r="B105" s="301" t="s">
        <v>136</v>
      </c>
      <c r="C105" s="301"/>
      <c r="D105" s="301"/>
      <c r="E105" s="301"/>
      <c r="F105" s="301"/>
      <c r="G105" s="301"/>
      <c r="H105" s="139">
        <f>'DADOS BÁSICOS 2º ANO'!$H$68</f>
        <v>0.19980000000000001</v>
      </c>
      <c r="I105" s="71">
        <f t="shared" si="3"/>
        <v>2.0499999999999998</v>
      </c>
    </row>
    <row r="106" spans="1:9" ht="16.5" customHeight="1">
      <c r="A106" s="69" t="s">
        <v>62</v>
      </c>
      <c r="B106" s="301" t="s">
        <v>137</v>
      </c>
      <c r="C106" s="301"/>
      <c r="D106" s="301"/>
      <c r="E106" s="301"/>
      <c r="F106" s="301"/>
      <c r="G106" s="301"/>
      <c r="H106" s="139">
        <f>'DADOS BÁSICOS 2º ANO'!$H$69</f>
        <v>0.96619999999999995</v>
      </c>
      <c r="I106" s="71">
        <f t="shared" si="3"/>
        <v>9.93</v>
      </c>
    </row>
    <row r="107" spans="1:9" ht="16.5" customHeight="1">
      <c r="A107" s="69" t="s">
        <v>64</v>
      </c>
      <c r="B107" s="301" t="s">
        <v>138</v>
      </c>
      <c r="C107" s="301"/>
      <c r="D107" s="301"/>
      <c r="E107" s="301"/>
      <c r="F107" s="301"/>
      <c r="G107" s="301"/>
      <c r="H107" s="139">
        <f>'DADOS BÁSICOS 2º ANO'!$H$70</f>
        <v>2.4771999999999998</v>
      </c>
      <c r="I107" s="71">
        <f t="shared" si="3"/>
        <v>25.47</v>
      </c>
    </row>
    <row r="108" spans="1:9">
      <c r="A108" s="41" t="s">
        <v>66</v>
      </c>
      <c r="B108" s="301" t="s">
        <v>139</v>
      </c>
      <c r="C108" s="301"/>
      <c r="D108" s="301"/>
      <c r="E108" s="301"/>
      <c r="F108" s="301"/>
      <c r="G108" s="301"/>
      <c r="H108" s="139">
        <f>'DADOS BÁSICOS 2º ANO'!$H$71</f>
        <v>0</v>
      </c>
      <c r="I108" s="71">
        <f t="shared" si="3"/>
        <v>0</v>
      </c>
    </row>
    <row r="109" spans="1:9">
      <c r="A109" s="287" t="s">
        <v>85</v>
      </c>
      <c r="B109" s="287"/>
      <c r="C109" s="287"/>
      <c r="D109" s="287"/>
      <c r="E109" s="287"/>
      <c r="F109" s="287"/>
      <c r="G109" s="287"/>
      <c r="H109" s="142">
        <f>H96+H105+H106+H107+H108</f>
        <v>8.5166000000000004</v>
      </c>
      <c r="I109" s="80">
        <f>I96+I105+I106+I107+I108</f>
        <v>87.55</v>
      </c>
    </row>
    <row r="110" spans="1:9" ht="16.5" customHeight="1">
      <c r="A110" s="143" t="s">
        <v>140</v>
      </c>
      <c r="B110" s="290" t="s">
        <v>141</v>
      </c>
      <c r="C110" s="290"/>
      <c r="D110" s="290"/>
      <c r="E110" s="290"/>
      <c r="F110" s="290"/>
      <c r="G110" s="290"/>
      <c r="H110" s="144"/>
      <c r="I110" s="145" t="s">
        <v>79</v>
      </c>
    </row>
    <row r="111" spans="1:9">
      <c r="A111" s="69" t="s">
        <v>58</v>
      </c>
      <c r="B111" s="286" t="s">
        <v>142</v>
      </c>
      <c r="C111" s="286"/>
      <c r="D111" s="286"/>
      <c r="E111" s="286"/>
      <c r="F111" s="286"/>
      <c r="G111" s="286"/>
      <c r="H111" s="48"/>
      <c r="I111" s="146">
        <v>0</v>
      </c>
    </row>
    <row r="112" spans="1:9" ht="21.75" customHeight="1">
      <c r="A112" s="287" t="s">
        <v>85</v>
      </c>
      <c r="B112" s="287"/>
      <c r="C112" s="287"/>
      <c r="D112" s="287"/>
      <c r="E112" s="287"/>
      <c r="F112" s="287"/>
      <c r="G112" s="287"/>
      <c r="H112" s="113"/>
      <c r="I112" s="147">
        <f>SUM(I111:I111)</f>
        <v>0</v>
      </c>
    </row>
    <row r="113" spans="1:10" ht="12.75" customHeight="1">
      <c r="A113" s="37" t="s">
        <v>143</v>
      </c>
      <c r="B113" s="63"/>
      <c r="C113" s="63"/>
      <c r="D113" s="63"/>
      <c r="E113" s="63"/>
      <c r="F113" s="63"/>
      <c r="G113" s="63"/>
      <c r="H113" s="64"/>
      <c r="I113" s="65"/>
    </row>
    <row r="114" spans="1:10" ht="12.75" customHeight="1">
      <c r="A114" s="66">
        <v>4</v>
      </c>
      <c r="B114" s="288" t="s">
        <v>144</v>
      </c>
      <c r="C114" s="288"/>
      <c r="D114" s="288"/>
      <c r="E114" s="288"/>
      <c r="F114" s="288"/>
      <c r="G114" s="288"/>
      <c r="H114" s="148"/>
      <c r="I114" s="68" t="s">
        <v>79</v>
      </c>
    </row>
    <row r="115" spans="1:10" ht="12.75" customHeight="1">
      <c r="A115" s="85" t="s">
        <v>132</v>
      </c>
      <c r="B115" s="284" t="s">
        <v>133</v>
      </c>
      <c r="C115" s="284"/>
      <c r="D115" s="284"/>
      <c r="E115" s="284"/>
      <c r="F115" s="284"/>
      <c r="G115" s="284"/>
      <c r="H115" s="149"/>
      <c r="I115" s="71">
        <f>I109</f>
        <v>87.55</v>
      </c>
    </row>
    <row r="116" spans="1:10">
      <c r="A116" s="85" t="s">
        <v>140</v>
      </c>
      <c r="B116" s="299" t="s">
        <v>145</v>
      </c>
      <c r="C116" s="299"/>
      <c r="D116" s="299"/>
      <c r="E116" s="299"/>
      <c r="F116" s="299"/>
      <c r="G116" s="299"/>
      <c r="H116" s="150"/>
      <c r="I116" s="71">
        <f>I112</f>
        <v>0</v>
      </c>
    </row>
    <row r="117" spans="1:10" ht="18.75" customHeight="1">
      <c r="A117" s="298" t="s">
        <v>85</v>
      </c>
      <c r="B117" s="298"/>
      <c r="C117" s="298"/>
      <c r="D117" s="298"/>
      <c r="E117" s="298"/>
      <c r="F117" s="298"/>
      <c r="G117" s="298"/>
      <c r="H117" s="151"/>
      <c r="I117" s="80">
        <f>SUM(I115:I116)</f>
        <v>87.55</v>
      </c>
    </row>
    <row r="118" spans="1:10" ht="12.75" customHeight="1">
      <c r="A118" s="37" t="s">
        <v>146</v>
      </c>
      <c r="B118" s="38"/>
      <c r="C118" s="38"/>
      <c r="D118" s="38"/>
      <c r="E118" s="38"/>
      <c r="F118" s="38"/>
      <c r="G118" s="38"/>
      <c r="H118" s="39"/>
      <c r="I118" s="40"/>
    </row>
    <row r="119" spans="1:10" ht="15" customHeight="1">
      <c r="A119" s="66">
        <v>5</v>
      </c>
      <c r="B119" s="288" t="s">
        <v>147</v>
      </c>
      <c r="C119" s="288"/>
      <c r="D119" s="288"/>
      <c r="E119" s="288"/>
      <c r="F119" s="288"/>
      <c r="G119" s="288"/>
      <c r="H119" s="148"/>
      <c r="I119" s="68" t="s">
        <v>79</v>
      </c>
      <c r="J119" s="153"/>
    </row>
    <row r="120" spans="1:10" ht="15" customHeight="1">
      <c r="A120" s="154" t="s">
        <v>58</v>
      </c>
      <c r="B120" s="295" t="s">
        <v>40</v>
      </c>
      <c r="C120" s="295"/>
      <c r="D120" s="295"/>
      <c r="E120" s="295"/>
      <c r="F120" s="295"/>
      <c r="G120" s="295"/>
      <c r="H120" s="149"/>
      <c r="I120" s="71">
        <f>SUM(I121:I123)</f>
        <v>41.03</v>
      </c>
      <c r="J120" s="153"/>
    </row>
    <row r="121" spans="1:10" ht="15" customHeight="1">
      <c r="A121" s="155" t="s">
        <v>219</v>
      </c>
      <c r="B121" s="286" t="s">
        <v>220</v>
      </c>
      <c r="C121" s="286"/>
      <c r="D121" s="286"/>
      <c r="E121" s="286"/>
      <c r="F121" s="286"/>
      <c r="G121" s="286"/>
      <c r="H121" s="149"/>
      <c r="I121" s="71">
        <f>'DADOS BÁSICOS 2º ANO'!$D$46</f>
        <v>35.61</v>
      </c>
      <c r="J121" s="153"/>
    </row>
    <row r="122" spans="1:10" ht="15" customHeight="1">
      <c r="A122" s="158" t="s">
        <v>221</v>
      </c>
      <c r="B122" s="296" t="s">
        <v>223</v>
      </c>
      <c r="C122" s="296"/>
      <c r="D122" s="296"/>
      <c r="E122" s="296"/>
      <c r="F122" s="296"/>
      <c r="G122" s="296"/>
      <c r="H122" s="159">
        <f>(ROUNDUP(((H109*H11)/(365*0.6986)),0))/H11</f>
        <v>4.3499999999999997E-2</v>
      </c>
      <c r="I122" s="249">
        <f>ROUNDUP(('DADOS BÁSICOS 2º ANO'!$D$46*H122),2)</f>
        <v>1.55</v>
      </c>
      <c r="J122" s="153"/>
    </row>
    <row r="123" spans="1:10" ht="12.75" customHeight="1">
      <c r="A123" s="108" t="s">
        <v>222</v>
      </c>
      <c r="B123" s="297" t="s">
        <v>209</v>
      </c>
      <c r="C123" s="297"/>
      <c r="D123" s="297"/>
      <c r="E123" s="297"/>
      <c r="F123" s="297"/>
      <c r="G123" s="297"/>
      <c r="H123" s="161">
        <f>((ROUNDUP((H11/11),0))/H11)</f>
        <v>0.1087</v>
      </c>
      <c r="I123" s="250">
        <f>'DADOS BÁSICOS 2º ANO'!$D$46*H123</f>
        <v>3.87</v>
      </c>
      <c r="J123" s="153"/>
    </row>
    <row r="124" spans="1:10" ht="16.5" customHeight="1">
      <c r="A124" s="154" t="s">
        <v>60</v>
      </c>
      <c r="B124" s="295" t="s">
        <v>44</v>
      </c>
      <c r="C124" s="295"/>
      <c r="D124" s="295"/>
      <c r="E124" s="295"/>
      <c r="F124" s="295"/>
      <c r="G124" s="295"/>
      <c r="H124" s="149"/>
      <c r="I124" s="163">
        <f>'DADOS BÁSICOS 2º ANO'!$D$50/'MEMÓRIA DE CÁLCULO REF 4º ANO'!H10</f>
        <v>0</v>
      </c>
      <c r="J124" s="164"/>
    </row>
    <row r="125" spans="1:10" ht="12.75" customHeight="1">
      <c r="A125" s="154" t="s">
        <v>62</v>
      </c>
      <c r="B125" s="295" t="s">
        <v>47</v>
      </c>
      <c r="C125" s="295"/>
      <c r="D125" s="295"/>
      <c r="E125" s="295"/>
      <c r="F125" s="295"/>
      <c r="G125" s="295"/>
      <c r="H125" s="149"/>
      <c r="I125" s="163">
        <f>SUM(I126:I128)</f>
        <v>0.24</v>
      </c>
      <c r="J125" s="164"/>
    </row>
    <row r="126" spans="1:10" ht="12.75" customHeight="1">
      <c r="A126" s="69" t="s">
        <v>224</v>
      </c>
      <c r="B126" s="286" t="s">
        <v>226</v>
      </c>
      <c r="C126" s="286"/>
      <c r="D126" s="286"/>
      <c r="E126" s="286"/>
      <c r="F126" s="286"/>
      <c r="G126" s="286"/>
      <c r="H126" s="149"/>
      <c r="I126" s="163">
        <f>('DADOS BÁSICOS 2º ANO'!$G$54/'DADOS BÁSICOS 2º ANO'!$C$54)/('MEMÓRIA DE CÁLCULO REF 4º ANO'!$H$11+'TELEFONISTA 2º ANO'!$H$11)</f>
        <v>0.28999999999999998</v>
      </c>
      <c r="J126" s="164"/>
    </row>
    <row r="127" spans="1:10" ht="12.75" customHeight="1">
      <c r="A127" s="158" t="s">
        <v>225</v>
      </c>
      <c r="B127" s="296" t="s">
        <v>227</v>
      </c>
      <c r="C127" s="296"/>
      <c r="D127" s="296"/>
      <c r="E127" s="296"/>
      <c r="F127" s="296"/>
      <c r="G127" s="296"/>
      <c r="H127" s="159"/>
      <c r="I127" s="165">
        <f>(('DADOS BÁSICOS LICITAÇÃO'!$G$54/'DADOS BÁSICOS LICITAÇÃO'!$C$54)/($H$11+'TELEFONISTA 2º ANO'!$H$11+(ROUNDUP(((H109*H11)/(365*0.6986)),0)+(ROUNDUP((('TELEFONISTA 2º ANO'!H109*'TELEFONISTA 2º ANO'!H11)/(365*0.6986)),0))))-I126)</f>
        <v>-0.02</v>
      </c>
      <c r="J127" s="164"/>
    </row>
    <row r="128" spans="1:10">
      <c r="A128" s="108" t="s">
        <v>225</v>
      </c>
      <c r="B128" s="297" t="s">
        <v>210</v>
      </c>
      <c r="C128" s="297"/>
      <c r="D128" s="297"/>
      <c r="E128" s="297"/>
      <c r="F128" s="297"/>
      <c r="G128" s="297"/>
      <c r="H128" s="161"/>
      <c r="I128" s="251">
        <f>(('DADOS BÁSICOS 2º ANO'!$G$54/'DADOS BÁSICOS 2º ANO'!$C$54)/('RECEPÇÃO 2º ANO'!$H$11+'TELEFONISTA 2º ANO'!$H$11+ROUNDUP((H11/11),0)+ROUNDUP(('TELEFONISTA 2º ANO'!H11/11),0)))-I126</f>
        <v>-0.03</v>
      </c>
    </row>
    <row r="129" spans="1:9" ht="14.25" customHeight="1">
      <c r="A129" s="287" t="s">
        <v>85</v>
      </c>
      <c r="B129" s="287"/>
      <c r="C129" s="287"/>
      <c r="D129" s="287"/>
      <c r="E129" s="287"/>
      <c r="F129" s="287"/>
      <c r="G129" s="287"/>
      <c r="H129" s="113"/>
      <c r="I129" s="167">
        <f>I120+I124+I125</f>
        <v>41.27</v>
      </c>
    </row>
    <row r="130" spans="1:9">
      <c r="A130" s="289" t="s">
        <v>148</v>
      </c>
      <c r="B130" s="289"/>
      <c r="C130" s="289"/>
      <c r="D130" s="289"/>
      <c r="E130" s="289"/>
      <c r="F130" s="289"/>
      <c r="G130" s="289"/>
      <c r="H130" s="132" t="s">
        <v>93</v>
      </c>
      <c r="I130" s="168">
        <f>I29</f>
        <v>1806.53</v>
      </c>
    </row>
    <row r="131" spans="1:9">
      <c r="A131" s="289"/>
      <c r="B131" s="289"/>
      <c r="C131" s="289"/>
      <c r="D131" s="289"/>
      <c r="E131" s="289"/>
      <c r="F131" s="289"/>
      <c r="G131" s="289"/>
      <c r="H131" s="132" t="s">
        <v>94</v>
      </c>
      <c r="I131" s="168">
        <f>I80</f>
        <v>1834.12</v>
      </c>
    </row>
    <row r="132" spans="1:9">
      <c r="A132" s="289"/>
      <c r="B132" s="289"/>
      <c r="C132" s="289"/>
      <c r="D132" s="289"/>
      <c r="E132" s="289"/>
      <c r="F132" s="289"/>
      <c r="G132" s="289"/>
      <c r="H132" s="132" t="s">
        <v>95</v>
      </c>
      <c r="I132" s="168">
        <f>I89</f>
        <v>60.12</v>
      </c>
    </row>
    <row r="133" spans="1:9">
      <c r="A133" s="289"/>
      <c r="B133" s="289"/>
      <c r="C133" s="289"/>
      <c r="D133" s="289"/>
      <c r="E133" s="289"/>
      <c r="F133" s="289"/>
      <c r="G133" s="289"/>
      <c r="H133" s="132" t="s">
        <v>96</v>
      </c>
      <c r="I133" s="168">
        <f>I117</f>
        <v>87.55</v>
      </c>
    </row>
    <row r="134" spans="1:9">
      <c r="A134" s="289"/>
      <c r="B134" s="289"/>
      <c r="C134" s="289"/>
      <c r="D134" s="289"/>
      <c r="E134" s="289"/>
      <c r="F134" s="289"/>
      <c r="G134" s="289"/>
      <c r="H134" s="132" t="s">
        <v>97</v>
      </c>
      <c r="I134" s="82">
        <f>I129</f>
        <v>41.27</v>
      </c>
    </row>
    <row r="135" spans="1:9" ht="24" customHeight="1">
      <c r="A135" s="289"/>
      <c r="B135" s="289"/>
      <c r="C135" s="289"/>
      <c r="D135" s="289"/>
      <c r="E135" s="289"/>
      <c r="F135" s="289"/>
      <c r="G135" s="289"/>
      <c r="H135" s="132" t="s">
        <v>85</v>
      </c>
      <c r="I135" s="82">
        <f>SUM(I130:I134)</f>
        <v>3829.59</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2º ANO'!$S8</f>
        <v>0.05</v>
      </c>
      <c r="I138" s="71">
        <f>(H138*I135)</f>
        <v>191.48</v>
      </c>
    </row>
    <row r="139" spans="1:9">
      <c r="A139" s="69" t="s">
        <v>60</v>
      </c>
      <c r="B139" s="291" t="s">
        <v>152</v>
      </c>
      <c r="C139" s="292"/>
      <c r="D139" s="292"/>
      <c r="E139" s="292"/>
      <c r="F139" s="292"/>
      <c r="G139" s="293"/>
      <c r="H139" s="124">
        <f>'DADOS BÁSICOS 2º ANO'!$T8</f>
        <v>0.05</v>
      </c>
      <c r="I139" s="71">
        <f>H139*(I135+I138)</f>
        <v>201.05</v>
      </c>
    </row>
    <row r="140" spans="1:9" ht="12.75" customHeight="1">
      <c r="A140" s="69" t="s">
        <v>62</v>
      </c>
      <c r="B140" s="294" t="s">
        <v>153</v>
      </c>
      <c r="C140" s="294"/>
      <c r="D140" s="294"/>
      <c r="E140" s="294"/>
      <c r="F140" s="294"/>
      <c r="G140" s="294"/>
      <c r="H140" s="169">
        <f>SUM(H141+H142+H143)</f>
        <v>8.6499999999999994E-2</v>
      </c>
      <c r="I140" s="170">
        <f>SUM(I141:I143)</f>
        <v>399.8</v>
      </c>
    </row>
    <row r="141" spans="1:9" ht="12.75" customHeight="1">
      <c r="A141" s="154"/>
      <c r="B141" s="286" t="s">
        <v>154</v>
      </c>
      <c r="C141" s="286"/>
      <c r="D141" s="286"/>
      <c r="E141" s="286"/>
      <c r="F141" s="286"/>
      <c r="G141" s="286"/>
      <c r="H141" s="127">
        <f>IF('DADOS BÁSICOS 2º ANO'!$B$25="LUCRO PRESUMIDO",'DADOS BÁSICOS 2º ANO'!$B$28,'DADOS BÁSICOS 2º ANO'!$C$28)</f>
        <v>0.03</v>
      </c>
      <c r="I141" s="71">
        <f>SUM(H141*I154)</f>
        <v>138.66</v>
      </c>
    </row>
    <row r="142" spans="1:9" ht="12.75" customHeight="1">
      <c r="A142" s="154"/>
      <c r="B142" s="286" t="s">
        <v>155</v>
      </c>
      <c r="C142" s="286"/>
      <c r="D142" s="286"/>
      <c r="E142" s="286"/>
      <c r="F142" s="286"/>
      <c r="G142" s="286"/>
      <c r="H142" s="127">
        <f>IF('DADOS BÁSICOS 2º ANO'!$B$25="LUCRO PRESUMIDO",'DADOS BÁSICOS 2º ANO'!$B$27,'DADOS BÁSICOS 2º ANO'!$C$27)</f>
        <v>6.4999999999999997E-3</v>
      </c>
      <c r="I142" s="71">
        <f>SUM(H142*I154)</f>
        <v>30.04</v>
      </c>
    </row>
    <row r="143" spans="1:9">
      <c r="A143" s="154"/>
      <c r="B143" s="286" t="s">
        <v>156</v>
      </c>
      <c r="C143" s="286"/>
      <c r="D143" s="286"/>
      <c r="E143" s="286"/>
      <c r="F143" s="286"/>
      <c r="G143" s="286"/>
      <c r="H143" s="127">
        <f>'DADOS BÁSICOS 2º ANO'!U8</f>
        <v>0.05</v>
      </c>
      <c r="I143" s="71">
        <f>SUM(H143*I154)</f>
        <v>231.1</v>
      </c>
    </row>
    <row r="144" spans="1:9" ht="19.5" customHeight="1">
      <c r="A144" s="287" t="s">
        <v>85</v>
      </c>
      <c r="B144" s="287"/>
      <c r="C144" s="287"/>
      <c r="D144" s="287"/>
      <c r="E144" s="287"/>
      <c r="F144" s="287"/>
      <c r="G144" s="287"/>
      <c r="H144" s="171"/>
      <c r="I144" s="80">
        <f>SUM(I138+I139+I141+I142+I143)</f>
        <v>792.33</v>
      </c>
    </row>
    <row r="145" spans="1:9" ht="12.75" customHeight="1">
      <c r="A145" s="172" t="s">
        <v>157</v>
      </c>
      <c r="B145" s="173"/>
      <c r="C145" s="173"/>
      <c r="D145" s="173"/>
      <c r="E145" s="173"/>
      <c r="F145" s="173"/>
      <c r="G145" s="173"/>
      <c r="H145" s="174"/>
      <c r="I145" s="175"/>
    </row>
    <row r="146" spans="1:9" ht="12.75" customHeight="1">
      <c r="A146" s="288" t="s">
        <v>158</v>
      </c>
      <c r="B146" s="288"/>
      <c r="C146" s="288"/>
      <c r="D146" s="288"/>
      <c r="E146" s="288"/>
      <c r="F146" s="288"/>
      <c r="G146" s="288"/>
      <c r="H146" s="148"/>
      <c r="I146" s="84" t="s">
        <v>79</v>
      </c>
    </row>
    <row r="147" spans="1:9" ht="12.75" customHeight="1">
      <c r="A147" s="176" t="s">
        <v>58</v>
      </c>
      <c r="B147" s="284" t="s">
        <v>159</v>
      </c>
      <c r="C147" s="284"/>
      <c r="D147" s="284"/>
      <c r="E147" s="284"/>
      <c r="F147" s="284"/>
      <c r="G147" s="284"/>
      <c r="H147" s="48"/>
      <c r="I147" s="177">
        <f>I29</f>
        <v>1806.53</v>
      </c>
    </row>
    <row r="148" spans="1:9" ht="12.75" customHeight="1">
      <c r="A148" s="176" t="s">
        <v>60</v>
      </c>
      <c r="B148" s="284" t="s">
        <v>121</v>
      </c>
      <c r="C148" s="284"/>
      <c r="D148" s="284"/>
      <c r="E148" s="284"/>
      <c r="F148" s="284"/>
      <c r="G148" s="284"/>
      <c r="H148" s="178"/>
      <c r="I148" s="177">
        <f>I80</f>
        <v>1834.12</v>
      </c>
    </row>
    <row r="149" spans="1:9" ht="12.75" customHeight="1">
      <c r="A149" s="176" t="s">
        <v>62</v>
      </c>
      <c r="B149" s="284" t="s">
        <v>160</v>
      </c>
      <c r="C149" s="284"/>
      <c r="D149" s="284"/>
      <c r="E149" s="284"/>
      <c r="F149" s="284"/>
      <c r="G149" s="284"/>
      <c r="H149" s="178"/>
      <c r="I149" s="177">
        <f>I89</f>
        <v>60.12</v>
      </c>
    </row>
    <row r="150" spans="1:9" ht="12.75" customHeight="1">
      <c r="A150" s="176" t="s">
        <v>64</v>
      </c>
      <c r="B150" s="284" t="s">
        <v>144</v>
      </c>
      <c r="C150" s="284"/>
      <c r="D150" s="284"/>
      <c r="E150" s="284"/>
      <c r="F150" s="284"/>
      <c r="G150" s="284"/>
      <c r="H150" s="178"/>
      <c r="I150" s="177">
        <f>I117</f>
        <v>87.55</v>
      </c>
    </row>
    <row r="151" spans="1:9" ht="16.5" customHeight="1">
      <c r="A151" s="176" t="s">
        <v>66</v>
      </c>
      <c r="B151" s="284" t="s">
        <v>161</v>
      </c>
      <c r="C151" s="284"/>
      <c r="D151" s="284"/>
      <c r="E151" s="284"/>
      <c r="F151" s="284"/>
      <c r="G151" s="284"/>
      <c r="H151" s="178"/>
      <c r="I151" s="177">
        <f>I129</f>
        <v>41.27</v>
      </c>
    </row>
    <row r="152" spans="1:9" ht="12.75" customHeight="1">
      <c r="A152" s="285" t="s">
        <v>162</v>
      </c>
      <c r="B152" s="285"/>
      <c r="C152" s="285"/>
      <c r="D152" s="285"/>
      <c r="E152" s="285"/>
      <c r="F152" s="285"/>
      <c r="G152" s="285"/>
      <c r="H152" s="179"/>
      <c r="I152" s="180">
        <f>SUM(I147:I151)</f>
        <v>3829.59</v>
      </c>
    </row>
    <row r="153" spans="1:9" ht="16.5" customHeight="1">
      <c r="A153" s="181" t="s">
        <v>84</v>
      </c>
      <c r="B153" s="286" t="s">
        <v>163</v>
      </c>
      <c r="C153" s="286"/>
      <c r="D153" s="286"/>
      <c r="E153" s="286"/>
      <c r="F153" s="286"/>
      <c r="G153" s="286"/>
      <c r="H153" s="48"/>
      <c r="I153" s="182">
        <f>I144</f>
        <v>792.33</v>
      </c>
    </row>
    <row r="154" spans="1:9" ht="19.5" customHeight="1" thickBot="1">
      <c r="A154" s="285" t="s">
        <v>164</v>
      </c>
      <c r="B154" s="285"/>
      <c r="C154" s="285"/>
      <c r="D154" s="285"/>
      <c r="E154" s="285"/>
      <c r="F154" s="285"/>
      <c r="G154" s="285"/>
      <c r="H154" s="183"/>
      <c r="I154" s="184">
        <f>SUM(I152+I138+I139)/(1-H140)</f>
        <v>4621.92</v>
      </c>
    </row>
    <row r="155" spans="1:9">
      <c r="A155" s="172" t="s">
        <v>165</v>
      </c>
      <c r="B155" s="185"/>
      <c r="C155" s="185"/>
      <c r="D155" s="185"/>
      <c r="E155" s="185"/>
      <c r="F155" s="185"/>
      <c r="G155" s="185"/>
      <c r="H155" s="186" t="s">
        <v>166</v>
      </c>
      <c r="I155" s="185" t="s">
        <v>79</v>
      </c>
    </row>
    <row r="156" spans="1:9">
      <c r="A156" s="43" t="s">
        <v>198</v>
      </c>
      <c r="B156" s="283" t="s">
        <v>25</v>
      </c>
      <c r="C156" s="283"/>
      <c r="D156" s="283"/>
      <c r="E156" s="283"/>
      <c r="F156" s="283"/>
      <c r="G156" s="283"/>
      <c r="H156" s="187">
        <f>H11</f>
        <v>46</v>
      </c>
      <c r="I156" s="188">
        <f>H156*I154</f>
        <v>212608.32</v>
      </c>
    </row>
    <row r="157" spans="1:9">
      <c r="I157" s="35"/>
    </row>
    <row r="158" spans="1:9">
      <c r="I158" s="164"/>
    </row>
    <row r="159" spans="1:9">
      <c r="I159" s="164"/>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MnXs0eKXJ6h+0kA83RDXEV0JeAkVtSl0zQ2Wnz7Eny1YQosP34U2gCzh+fkrSXjuD7Nz2kmU1wCv8rNooi3Teg==" saltValue="8QkE34RZmRv79vL/XUOtaQ==" spinCount="100000" sheet="1" objects="1" scenarios="1"/>
  <mergeCells count="148">
    <mergeCell ref="B7:G7"/>
    <mergeCell ref="H7:I7"/>
    <mergeCell ref="B8:G8"/>
    <mergeCell ref="H8:I8"/>
    <mergeCell ref="B9:G9"/>
    <mergeCell ref="H9:I9"/>
    <mergeCell ref="A1:I1"/>
    <mergeCell ref="A2:I2"/>
    <mergeCell ref="A3:I3"/>
    <mergeCell ref="A4:I4"/>
    <mergeCell ref="A5:I5"/>
    <mergeCell ref="A6:I6"/>
    <mergeCell ref="B14:G14"/>
    <mergeCell ref="H14:I14"/>
    <mergeCell ref="B15:G15"/>
    <mergeCell ref="H15:I15"/>
    <mergeCell ref="B16:G16"/>
    <mergeCell ref="H16:I16"/>
    <mergeCell ref="B10:G10"/>
    <mergeCell ref="H10:I10"/>
    <mergeCell ref="B11:G11"/>
    <mergeCell ref="H11:I11"/>
    <mergeCell ref="B13:G13"/>
    <mergeCell ref="H13:I13"/>
    <mergeCell ref="B20:G20"/>
    <mergeCell ref="H20:I20"/>
    <mergeCell ref="B22:G22"/>
    <mergeCell ref="B23:G23"/>
    <mergeCell ref="B24:G24"/>
    <mergeCell ref="B25:G25"/>
    <mergeCell ref="B17:G17"/>
    <mergeCell ref="H17:I17"/>
    <mergeCell ref="B18:G18"/>
    <mergeCell ref="H18:I18"/>
    <mergeCell ref="B19:G19"/>
    <mergeCell ref="H19:I19"/>
    <mergeCell ref="B32:G32"/>
    <mergeCell ref="B33:G33"/>
    <mergeCell ref="C34:G34"/>
    <mergeCell ref="C35:G35"/>
    <mergeCell ref="C36:G36"/>
    <mergeCell ref="C37:G37"/>
    <mergeCell ref="B26:G26"/>
    <mergeCell ref="B27:G27"/>
    <mergeCell ref="B28:D28"/>
    <mergeCell ref="E28:G28"/>
    <mergeCell ref="A29:G29"/>
    <mergeCell ref="B31:G31"/>
    <mergeCell ref="B47:G47"/>
    <mergeCell ref="B48:G48"/>
    <mergeCell ref="B49:G49"/>
    <mergeCell ref="B50:G50"/>
    <mergeCell ref="B51:G51"/>
    <mergeCell ref="B52:G52"/>
    <mergeCell ref="C38:G38"/>
    <mergeCell ref="C39:G39"/>
    <mergeCell ref="A40:G40"/>
    <mergeCell ref="A41:G43"/>
    <mergeCell ref="B45:G45"/>
    <mergeCell ref="B46:G46"/>
    <mergeCell ref="B61:G61"/>
    <mergeCell ref="I61:I64"/>
    <mergeCell ref="B62:G62"/>
    <mergeCell ref="B63:G63"/>
    <mergeCell ref="B64:G64"/>
    <mergeCell ref="B65:G65"/>
    <mergeCell ref="B53:G53"/>
    <mergeCell ref="A54:G54"/>
    <mergeCell ref="B56:G56"/>
    <mergeCell ref="B57:G57"/>
    <mergeCell ref="I57:I60"/>
    <mergeCell ref="B58:G58"/>
    <mergeCell ref="B59:G59"/>
    <mergeCell ref="B60:G60"/>
    <mergeCell ref="B72:G72"/>
    <mergeCell ref="B73:G73"/>
    <mergeCell ref="A74:G74"/>
    <mergeCell ref="B76:G76"/>
    <mergeCell ref="B77:G77"/>
    <mergeCell ref="B78:G78"/>
    <mergeCell ref="B66:G66"/>
    <mergeCell ref="B67:G67"/>
    <mergeCell ref="B68:G68"/>
    <mergeCell ref="B69:G69"/>
    <mergeCell ref="B70:G70"/>
    <mergeCell ref="B71:G71"/>
    <mergeCell ref="B86:G86"/>
    <mergeCell ref="B87:G87"/>
    <mergeCell ref="B88:G88"/>
    <mergeCell ref="A89:G89"/>
    <mergeCell ref="A90:G93"/>
    <mergeCell ref="B96:G96"/>
    <mergeCell ref="B79:G79"/>
    <mergeCell ref="A80:G80"/>
    <mergeCell ref="B82:G82"/>
    <mergeCell ref="B83:G83"/>
    <mergeCell ref="B84:G84"/>
    <mergeCell ref="B85:G85"/>
    <mergeCell ref="B103:G103"/>
    <mergeCell ref="B104:G104"/>
    <mergeCell ref="B105:G105"/>
    <mergeCell ref="B106:G106"/>
    <mergeCell ref="B107:G107"/>
    <mergeCell ref="B108:G108"/>
    <mergeCell ref="B97:G97"/>
    <mergeCell ref="B98:G98"/>
    <mergeCell ref="B99:G99"/>
    <mergeCell ref="B100:G100"/>
    <mergeCell ref="B101:G101"/>
    <mergeCell ref="B102:G102"/>
    <mergeCell ref="B116:G116"/>
    <mergeCell ref="A117:G117"/>
    <mergeCell ref="B119:G119"/>
    <mergeCell ref="B120:G120"/>
    <mergeCell ref="B121:G121"/>
    <mergeCell ref="B122:G122"/>
    <mergeCell ref="A109:G109"/>
    <mergeCell ref="B110:G110"/>
    <mergeCell ref="B111:G111"/>
    <mergeCell ref="A112:G112"/>
    <mergeCell ref="B114:G114"/>
    <mergeCell ref="B115:G115"/>
    <mergeCell ref="A129:G129"/>
    <mergeCell ref="A130:G135"/>
    <mergeCell ref="B137:G137"/>
    <mergeCell ref="B138:G138"/>
    <mergeCell ref="B139:G139"/>
    <mergeCell ref="B140:G140"/>
    <mergeCell ref="B123:G123"/>
    <mergeCell ref="B124:G124"/>
    <mergeCell ref="B125:G125"/>
    <mergeCell ref="B126:G126"/>
    <mergeCell ref="B127:G127"/>
    <mergeCell ref="B128:G128"/>
    <mergeCell ref="A154:G154"/>
    <mergeCell ref="B156:G156"/>
    <mergeCell ref="B148:G148"/>
    <mergeCell ref="B149:G149"/>
    <mergeCell ref="B150:G150"/>
    <mergeCell ref="B151:G151"/>
    <mergeCell ref="A152:G152"/>
    <mergeCell ref="B153:G153"/>
    <mergeCell ref="B141:G141"/>
    <mergeCell ref="B142:G142"/>
    <mergeCell ref="B143:G143"/>
    <mergeCell ref="A144:G144"/>
    <mergeCell ref="A146:G146"/>
    <mergeCell ref="B147:G147"/>
  </mergeCells>
  <pageMargins left="0.511811024" right="0.511811024" top="0.78740157500000008" bottom="0.78740157500000008" header="0.31496062000000008" footer="0.31496062000000008"/>
  <pageSetup paperSize="9" scale="65" fitToWidth="0" fitToHeight="0"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BC47-28A7-4703-B1C1-F788DCA42337}">
  <dimension ref="A1:U71"/>
  <sheetViews>
    <sheetView topLeftCell="A42" zoomScale="90" zoomScaleNormal="90" workbookViewId="0">
      <selection activeCell="L67" sqref="L67"/>
    </sheetView>
  </sheetViews>
  <sheetFormatPr defaultColWidth="8.26953125" defaultRowHeight="16"/>
  <cols>
    <col min="1" max="1" width="25.81640625" style="34" bestFit="1" customWidth="1"/>
    <col min="2" max="2" width="19.26953125" style="26" bestFit="1" customWidth="1"/>
    <col min="3" max="3" width="21.7265625" style="26" bestFit="1" customWidth="1"/>
    <col min="4" max="4" width="14.7265625" style="26" customWidth="1"/>
    <col min="5" max="5" width="13.1796875" style="26" bestFit="1" customWidth="1"/>
    <col min="6" max="6" width="14.26953125" style="26" customWidth="1"/>
    <col min="7" max="7" width="16.1796875" style="26" customWidth="1"/>
    <col min="8" max="8" width="13.54296875" style="26" bestFit="1" customWidth="1"/>
    <col min="9" max="9" width="12.453125" style="26" customWidth="1"/>
    <col min="10" max="10" width="11.1796875" style="26" bestFit="1" customWidth="1"/>
    <col min="11" max="11" width="10.7265625" style="26" customWidth="1"/>
    <col min="12" max="14" width="11.1796875" style="26" bestFit="1" customWidth="1"/>
    <col min="15" max="15" width="8.26953125" style="26" customWidth="1"/>
    <col min="16" max="16" width="8.81640625" style="26" bestFit="1" customWidth="1"/>
    <col min="17" max="18" width="8.26953125" style="26"/>
    <col min="19" max="19" width="8.81640625" style="26" bestFit="1" customWidth="1"/>
    <col min="20" max="20" width="8.26953125" style="26"/>
    <col min="21" max="21" width="8.81640625" style="26" bestFit="1" customWidth="1"/>
    <col min="22" max="22" width="8.26953125" style="26"/>
    <col min="23" max="23" width="11" style="26" bestFit="1" customWidth="1"/>
    <col min="24" max="16384" width="8.26953125" style="26"/>
  </cols>
  <sheetData>
    <row r="1" spans="1:21" ht="18">
      <c r="A1" s="361" t="s">
        <v>9</v>
      </c>
      <c r="B1" s="362"/>
      <c r="C1" s="362"/>
      <c r="D1" s="362"/>
      <c r="E1" s="362"/>
      <c r="F1" s="362"/>
      <c r="G1" s="362"/>
      <c r="H1" s="362"/>
      <c r="I1" s="362"/>
      <c r="J1" s="362"/>
      <c r="K1" s="362"/>
      <c r="L1" s="362"/>
      <c r="M1" s="362"/>
      <c r="N1" s="362"/>
      <c r="O1" s="362"/>
      <c r="P1" s="362"/>
      <c r="Q1" s="362"/>
      <c r="R1" s="362"/>
      <c r="S1" s="362"/>
      <c r="T1" s="362"/>
      <c r="U1" s="363"/>
    </row>
    <row r="2" spans="1:21" ht="18">
      <c r="A2" s="358" t="s">
        <v>276</v>
      </c>
      <c r="B2" s="359"/>
      <c r="C2" s="359"/>
      <c r="D2" s="359"/>
      <c r="E2" s="359"/>
      <c r="F2" s="359"/>
      <c r="G2" s="359"/>
      <c r="H2" s="359"/>
      <c r="I2" s="359"/>
      <c r="J2" s="359"/>
      <c r="K2" s="359"/>
      <c r="L2" s="359"/>
      <c r="M2" s="359"/>
      <c r="N2" s="359"/>
      <c r="O2" s="359"/>
      <c r="P2" s="359"/>
      <c r="Q2" s="359"/>
      <c r="R2" s="359"/>
      <c r="S2" s="359"/>
      <c r="T2" s="359"/>
      <c r="U2" s="360"/>
    </row>
    <row r="3" spans="1:21" ht="49.5">
      <c r="A3" s="252" t="str">
        <f>'DADOS BÁSICOS LICITAÇÃO'!A3</f>
        <v>Data de apresentação da proposta (dia/mês/ano)</v>
      </c>
      <c r="B3" s="252" t="str">
        <f>'DADOS BÁSICOS LICITAÇÃO'!B3</f>
        <v>DATA DA SESSÃO PÚBLICA</v>
      </c>
      <c r="C3" s="252" t="str">
        <f>'DADOS BÁSICOS LICITAÇÃO'!C3</f>
        <v>HORA DA ABERTURA</v>
      </c>
      <c r="D3" s="252" t="str">
        <f>'DADOS BÁSICOS LICITAÇÃO'!D3</f>
        <v>PROCESSO</v>
      </c>
      <c r="E3" s="252" t="str">
        <f>'DADOS BÁSICOS LICITAÇÃO'!E3</f>
        <v>PREGÃO ELETRÔNICO Nº</v>
      </c>
      <c r="G3" s="27"/>
      <c r="H3" s="27"/>
      <c r="I3" s="27"/>
      <c r="J3" s="27"/>
      <c r="K3" s="27"/>
      <c r="L3" s="27"/>
    </row>
    <row r="4" spans="1:21" ht="16.5">
      <c r="A4" s="191">
        <f ca="1">'DADOS BÁSICOS LICITAÇÃO'!A4</f>
        <v>44344</v>
      </c>
      <c r="B4" s="191">
        <f>'DADOS BÁSICOS LICITAÇÃO'!B4</f>
        <v>44358</v>
      </c>
      <c r="C4" s="253">
        <f>'DADOS BÁSICOS LICITAÇÃO'!C4</f>
        <v>0.39583333333333298</v>
      </c>
      <c r="D4" s="191" t="str">
        <f>'DADOS BÁSICOS LICITAÇÃO'!D4</f>
        <v>08385.000738/2021-44</v>
      </c>
      <c r="E4" s="191" t="str">
        <f>'DADOS BÁSICOS LICITAÇÃO'!E4</f>
        <v>01/2021</v>
      </c>
      <c r="F4" s="27"/>
      <c r="G4" s="27"/>
      <c r="H4" s="27"/>
      <c r="I4" s="27"/>
      <c r="J4" s="27"/>
      <c r="K4" s="27"/>
      <c r="L4" s="27"/>
    </row>
    <row r="5" spans="1:21" s="28" customFormat="1" ht="16.5">
      <c r="A5" s="192"/>
      <c r="D5" s="29"/>
      <c r="E5" s="29"/>
      <c r="F5" s="29"/>
      <c r="G5" s="29"/>
      <c r="H5" s="29"/>
      <c r="I5" s="29"/>
      <c r="J5" s="29"/>
      <c r="K5" s="29"/>
      <c r="L5" s="29"/>
    </row>
    <row r="6" spans="1:21" ht="16.5">
      <c r="E6" s="27"/>
      <c r="F6" s="27"/>
      <c r="G6" s="27"/>
      <c r="H6" s="27"/>
      <c r="I6" s="27"/>
      <c r="J6" s="27"/>
      <c r="K6" s="27"/>
      <c r="L6" s="27"/>
    </row>
    <row r="7" spans="1:21" s="30" customFormat="1" ht="116">
      <c r="A7" s="254" t="s">
        <v>10</v>
      </c>
      <c r="B7" s="255" t="s">
        <v>197</v>
      </c>
      <c r="C7" s="255" t="s">
        <v>241</v>
      </c>
      <c r="D7" s="254" t="s">
        <v>13</v>
      </c>
      <c r="E7" s="254" t="s">
        <v>14</v>
      </c>
      <c r="F7" s="255" t="s">
        <v>193</v>
      </c>
      <c r="G7" s="255" t="s">
        <v>15</v>
      </c>
      <c r="H7" s="254" t="s">
        <v>16</v>
      </c>
      <c r="I7" s="190" t="s">
        <v>192</v>
      </c>
      <c r="J7" s="190" t="s">
        <v>191</v>
      </c>
      <c r="K7" s="190" t="s">
        <v>190</v>
      </c>
      <c r="L7" s="190" t="s">
        <v>189</v>
      </c>
      <c r="M7" s="190" t="s">
        <v>195</v>
      </c>
      <c r="N7" s="190" t="s">
        <v>242</v>
      </c>
      <c r="O7" s="190" t="s">
        <v>243</v>
      </c>
      <c r="P7" s="190" t="s">
        <v>194</v>
      </c>
      <c r="Q7" s="190" t="s">
        <v>245</v>
      </c>
      <c r="R7" s="190" t="s">
        <v>244</v>
      </c>
      <c r="S7" s="190" t="s">
        <v>247</v>
      </c>
      <c r="T7" s="190" t="s">
        <v>248</v>
      </c>
      <c r="U7" s="256" t="s">
        <v>17</v>
      </c>
    </row>
    <row r="8" spans="1:21" s="31" customFormat="1" ht="16.5">
      <c r="A8" s="257" t="str">
        <f>'DADOS BÁSICOS LICITAÇÃO'!A8</f>
        <v>Curitiba/PR</v>
      </c>
      <c r="B8" s="22">
        <f>'DADOS BÁSICOS LICITAÇÃO'!B8</f>
        <v>46</v>
      </c>
      <c r="C8" s="211" t="str">
        <f>'DADOS BÁSICOS LICITAÇÃO'!C8</f>
        <v>Recepcionista</v>
      </c>
      <c r="D8" s="258" t="str">
        <f>'DADOS BÁSICOS LICITAÇÃO'!D8</f>
        <v>PR000326/2021</v>
      </c>
      <c r="E8" s="259">
        <f>'DADOS BÁSICOS LICITAÇÃO'!E8</f>
        <v>44228</v>
      </c>
      <c r="F8" s="258" t="str">
        <f>'DADOS BÁSICOS LICITAÇÃO'!F8</f>
        <v>SIEMACOxSEAC</v>
      </c>
      <c r="G8" s="208">
        <f>'DADOS BÁSICOS LICITAÇÃO'!G8</f>
        <v>220</v>
      </c>
      <c r="H8" s="218">
        <f>'DADOS BÁSICOS LICITAÇÃO'!H8</f>
        <v>1516.66</v>
      </c>
      <c r="I8" s="218">
        <f>'DADOS BÁSICOS LICITAÇÃO'!I8</f>
        <v>450</v>
      </c>
      <c r="J8" s="218">
        <f>'DADOS BÁSICOS LICITAÇÃO'!J8</f>
        <v>64</v>
      </c>
      <c r="K8" s="218">
        <f>'DADOS BÁSICOS LICITAÇÃO'!K8</f>
        <v>21</v>
      </c>
      <c r="L8" s="218">
        <f>'DADOS BÁSICOS LICITAÇÃO'!L8</f>
        <v>21</v>
      </c>
      <c r="M8" s="218">
        <f>'DADOS BÁSICOS LICITAÇÃO'!M8</f>
        <v>450</v>
      </c>
      <c r="N8" s="260">
        <f>'DADOS BÁSICOS LICITAÇÃO'!N8</f>
        <v>0.2</v>
      </c>
      <c r="O8" s="261">
        <f>'DADOS BÁSICOS LICITAÇÃO'!O8</f>
        <v>44</v>
      </c>
      <c r="P8" s="218">
        <f>'DADOS BÁSICOS LICITAÇÃO'!P8</f>
        <v>4.5</v>
      </c>
      <c r="Q8" s="262">
        <f>'DADOS BÁSICOS LICITAÇÃO'!Q8</f>
        <v>0.33710000000000001</v>
      </c>
      <c r="R8" s="262">
        <f>'DADOS BÁSICOS LICITAÇÃO'!R8</f>
        <v>0.33710000000000001</v>
      </c>
      <c r="S8" s="262">
        <f>'DADOS BÁSICOS LICITAÇÃO'!S8</f>
        <v>0.05</v>
      </c>
      <c r="T8" s="262">
        <f>'DADOS BÁSICOS LICITAÇÃO'!T8</f>
        <v>0.05</v>
      </c>
      <c r="U8" s="263">
        <f>'DADOS BÁSICOS LICITAÇÃO'!U8</f>
        <v>0.05</v>
      </c>
    </row>
    <row r="9" spans="1:21" ht="16.5">
      <c r="A9" s="257" t="str">
        <f>'DADOS BÁSICOS LICITAÇÃO'!A9</f>
        <v>Guarapuava/PR</v>
      </c>
      <c r="B9" s="22">
        <f>'DADOS BÁSICOS LICITAÇÃO'!B9</f>
        <v>4</v>
      </c>
      <c r="C9" s="211" t="str">
        <f>'DADOS BÁSICOS LICITAÇÃO'!C9</f>
        <v>Recepcionista</v>
      </c>
      <c r="D9" s="258" t="str">
        <f>'DADOS BÁSICOS LICITAÇÃO'!D9</f>
        <v>PR000326/2021</v>
      </c>
      <c r="E9" s="259">
        <f>'DADOS BÁSICOS LICITAÇÃO'!E9</f>
        <v>44228</v>
      </c>
      <c r="F9" s="258" t="str">
        <f>'DADOS BÁSICOS LICITAÇÃO'!F9</f>
        <v>SIEMACOxSEAC</v>
      </c>
      <c r="G9" s="208">
        <f>'DADOS BÁSICOS LICITAÇÃO'!G9</f>
        <v>220</v>
      </c>
      <c r="H9" s="218">
        <f>'DADOS BÁSICOS LICITAÇÃO'!H9</f>
        <v>1516.66</v>
      </c>
      <c r="I9" s="218">
        <f>'DADOS BÁSICOS LICITAÇÃO'!I9</f>
        <v>450</v>
      </c>
      <c r="J9" s="218">
        <f>'DADOS BÁSICOS LICITAÇÃO'!J9</f>
        <v>64</v>
      </c>
      <c r="K9" s="218">
        <f>'DADOS BÁSICOS LICITAÇÃO'!K9</f>
        <v>21</v>
      </c>
      <c r="L9" s="218">
        <f>'DADOS BÁSICOS LICITAÇÃO'!L9</f>
        <v>21</v>
      </c>
      <c r="M9" s="218">
        <f>'DADOS BÁSICOS LICITAÇÃO'!M9</f>
        <v>450</v>
      </c>
      <c r="N9" s="260">
        <f>'DADOS BÁSICOS LICITAÇÃO'!N9</f>
        <v>0.2</v>
      </c>
      <c r="O9" s="261">
        <f>'DADOS BÁSICOS LICITAÇÃO'!O9</f>
        <v>44</v>
      </c>
      <c r="P9" s="218">
        <f>'DADOS BÁSICOS LICITAÇÃO'!P9</f>
        <v>3.4</v>
      </c>
      <c r="Q9" s="262">
        <f>'DADOS BÁSICOS LICITAÇÃO'!Q9</f>
        <v>0.33710000000000001</v>
      </c>
      <c r="R9" s="262">
        <f>'DADOS BÁSICOS LICITAÇÃO'!R9</f>
        <v>0.33710000000000001</v>
      </c>
      <c r="S9" s="262">
        <f>'DADOS BÁSICOS LICITAÇÃO'!S9</f>
        <v>0.05</v>
      </c>
      <c r="T9" s="262">
        <f>'DADOS BÁSICOS LICITAÇÃO'!T9</f>
        <v>0.05</v>
      </c>
      <c r="U9" s="263">
        <f>'DADOS BÁSICOS LICITAÇÃO'!U9</f>
        <v>0.05</v>
      </c>
    </row>
    <row r="10" spans="1:21" ht="16.5">
      <c r="A10" s="257" t="str">
        <f>'DADOS BÁSICOS LICITAÇÃO'!A10</f>
        <v>Londrina/PR</v>
      </c>
      <c r="B10" s="22">
        <f>'DADOS BÁSICOS LICITAÇÃO'!B10</f>
        <v>14</v>
      </c>
      <c r="C10" s="211" t="str">
        <f>'DADOS BÁSICOS LICITAÇÃO'!C10</f>
        <v>Recepcionista</v>
      </c>
      <c r="D10" s="258" t="str">
        <f>'DADOS BÁSICOS LICITAÇÃO'!D10</f>
        <v>PR000326/2021</v>
      </c>
      <c r="E10" s="259">
        <f>'DADOS BÁSICOS LICITAÇÃO'!E10</f>
        <v>44228</v>
      </c>
      <c r="F10" s="258" t="str">
        <f>'DADOS BÁSICOS LICITAÇÃO'!F10</f>
        <v>SIEMACOxSEAC</v>
      </c>
      <c r="G10" s="208">
        <f>'DADOS BÁSICOS LICITAÇÃO'!G10</f>
        <v>220</v>
      </c>
      <c r="H10" s="218">
        <f>'DADOS BÁSICOS LICITAÇÃO'!H10</f>
        <v>1516.66</v>
      </c>
      <c r="I10" s="218">
        <f>'DADOS BÁSICOS LICITAÇÃO'!I10</f>
        <v>450</v>
      </c>
      <c r="J10" s="218">
        <f>'DADOS BÁSICOS LICITAÇÃO'!J10</f>
        <v>64</v>
      </c>
      <c r="K10" s="218">
        <f>'DADOS BÁSICOS LICITAÇÃO'!K10</f>
        <v>21</v>
      </c>
      <c r="L10" s="218">
        <f>'DADOS BÁSICOS LICITAÇÃO'!L10</f>
        <v>21</v>
      </c>
      <c r="M10" s="218">
        <f>'DADOS BÁSICOS LICITAÇÃO'!M10</f>
        <v>450</v>
      </c>
      <c r="N10" s="260">
        <f>'DADOS BÁSICOS LICITAÇÃO'!N10</f>
        <v>0.2</v>
      </c>
      <c r="O10" s="261">
        <f>'DADOS BÁSICOS LICITAÇÃO'!O10</f>
        <v>44</v>
      </c>
      <c r="P10" s="218">
        <f>'DADOS BÁSICOS LICITAÇÃO'!P10</f>
        <v>4.25</v>
      </c>
      <c r="Q10" s="262">
        <f>'DADOS BÁSICOS LICITAÇÃO'!Q10</f>
        <v>0.33710000000000001</v>
      </c>
      <c r="R10" s="262">
        <f>'DADOS BÁSICOS LICITAÇÃO'!R10</f>
        <v>0.33710000000000001</v>
      </c>
      <c r="S10" s="262">
        <f>'DADOS BÁSICOS LICITAÇÃO'!S10</f>
        <v>0.05</v>
      </c>
      <c r="T10" s="262">
        <f>'DADOS BÁSICOS LICITAÇÃO'!T10</f>
        <v>0.05</v>
      </c>
      <c r="U10" s="263">
        <f>'DADOS BÁSICOS LICITAÇÃO'!U10</f>
        <v>0.04</v>
      </c>
    </row>
    <row r="11" spans="1:21" ht="16.5">
      <c r="A11" s="257" t="str">
        <f>'DADOS BÁSICOS LICITAÇÃO'!A11</f>
        <v>Maringá/PR</v>
      </c>
      <c r="B11" s="22">
        <f>'DADOS BÁSICOS LICITAÇÃO'!B11</f>
        <v>12</v>
      </c>
      <c r="C11" s="211" t="str">
        <f>'DADOS BÁSICOS LICITAÇÃO'!C11</f>
        <v>Recepcionista</v>
      </c>
      <c r="D11" s="258" t="str">
        <f>'DADOS BÁSICOS LICITAÇÃO'!D11</f>
        <v>PR000326/2021</v>
      </c>
      <c r="E11" s="259">
        <f>'DADOS BÁSICOS LICITAÇÃO'!E11</f>
        <v>44228</v>
      </c>
      <c r="F11" s="258" t="str">
        <f>'DADOS BÁSICOS LICITAÇÃO'!F11</f>
        <v>SIEMACOxSEAC</v>
      </c>
      <c r="G11" s="208">
        <f>'DADOS BÁSICOS LICITAÇÃO'!G11</f>
        <v>220</v>
      </c>
      <c r="H11" s="218">
        <f>'DADOS BÁSICOS LICITAÇÃO'!H11</f>
        <v>1516.66</v>
      </c>
      <c r="I11" s="218">
        <f>'DADOS BÁSICOS LICITAÇÃO'!I11</f>
        <v>450</v>
      </c>
      <c r="J11" s="218">
        <f>'DADOS BÁSICOS LICITAÇÃO'!J11</f>
        <v>64</v>
      </c>
      <c r="K11" s="218">
        <f>'DADOS BÁSICOS LICITAÇÃO'!K11</f>
        <v>21</v>
      </c>
      <c r="L11" s="218">
        <f>'DADOS BÁSICOS LICITAÇÃO'!L11</f>
        <v>21</v>
      </c>
      <c r="M11" s="218">
        <f>'DADOS BÁSICOS LICITAÇÃO'!M11</f>
        <v>450</v>
      </c>
      <c r="N11" s="260">
        <f>'DADOS BÁSICOS LICITAÇÃO'!N11</f>
        <v>0.2</v>
      </c>
      <c r="O11" s="261">
        <f>'DADOS BÁSICOS LICITAÇÃO'!O11</f>
        <v>44</v>
      </c>
      <c r="P11" s="218">
        <f>'DADOS BÁSICOS LICITAÇÃO'!P11</f>
        <v>4.3</v>
      </c>
      <c r="Q11" s="262">
        <f>'DADOS BÁSICOS LICITAÇÃO'!Q11</f>
        <v>0.33710000000000001</v>
      </c>
      <c r="R11" s="262">
        <f>'DADOS BÁSICOS LICITAÇÃO'!R11</f>
        <v>0.33710000000000001</v>
      </c>
      <c r="S11" s="262">
        <f>'DADOS BÁSICOS LICITAÇÃO'!S11</f>
        <v>0.05</v>
      </c>
      <c r="T11" s="262">
        <f>'DADOS BÁSICOS LICITAÇÃO'!T11</f>
        <v>0.05</v>
      </c>
      <c r="U11" s="263">
        <f>'DADOS BÁSICOS LICITAÇÃO'!U11</f>
        <v>0.03</v>
      </c>
    </row>
    <row r="12" spans="1:21" ht="16.5">
      <c r="A12" s="257" t="str">
        <f>'DADOS BÁSICOS LICITAÇÃO'!A12</f>
        <v>Paranaguá/PR</v>
      </c>
      <c r="B12" s="22">
        <f>'DADOS BÁSICOS LICITAÇÃO'!B12</f>
        <v>6</v>
      </c>
      <c r="C12" s="211" t="str">
        <f>'DADOS BÁSICOS LICITAÇÃO'!C12</f>
        <v>Recepcionista</v>
      </c>
      <c r="D12" s="258" t="str">
        <f>'DADOS BÁSICOS LICITAÇÃO'!D12</f>
        <v>PR000326/2021</v>
      </c>
      <c r="E12" s="259">
        <f>'DADOS BÁSICOS LICITAÇÃO'!E12</f>
        <v>44228</v>
      </c>
      <c r="F12" s="258" t="str">
        <f>'DADOS BÁSICOS LICITAÇÃO'!F12</f>
        <v>SIEMACOxSEAC</v>
      </c>
      <c r="G12" s="208">
        <f>'DADOS BÁSICOS LICITAÇÃO'!G12</f>
        <v>220</v>
      </c>
      <c r="H12" s="218">
        <f>'DADOS BÁSICOS LICITAÇÃO'!H12</f>
        <v>1516.66</v>
      </c>
      <c r="I12" s="218">
        <f>'DADOS BÁSICOS LICITAÇÃO'!I12</f>
        <v>450</v>
      </c>
      <c r="J12" s="218">
        <f>'DADOS BÁSICOS LICITAÇÃO'!J12</f>
        <v>64</v>
      </c>
      <c r="K12" s="218">
        <f>'DADOS BÁSICOS LICITAÇÃO'!K12</f>
        <v>21</v>
      </c>
      <c r="L12" s="218">
        <f>'DADOS BÁSICOS LICITAÇÃO'!L12</f>
        <v>21</v>
      </c>
      <c r="M12" s="218">
        <f>'DADOS BÁSICOS LICITAÇÃO'!M12</f>
        <v>450</v>
      </c>
      <c r="N12" s="260">
        <f>'DADOS BÁSICOS LICITAÇÃO'!N12</f>
        <v>0.2</v>
      </c>
      <c r="O12" s="261">
        <f>'DADOS BÁSICOS LICITAÇÃO'!O12</f>
        <v>44</v>
      </c>
      <c r="P12" s="218">
        <f>'DADOS BÁSICOS LICITAÇÃO'!P12</f>
        <v>3.7</v>
      </c>
      <c r="Q12" s="262">
        <f>'DADOS BÁSICOS LICITAÇÃO'!Q12</f>
        <v>0.33710000000000001</v>
      </c>
      <c r="R12" s="262">
        <f>'DADOS BÁSICOS LICITAÇÃO'!R12</f>
        <v>0.33710000000000001</v>
      </c>
      <c r="S12" s="262">
        <f>'DADOS BÁSICOS LICITAÇÃO'!S12</f>
        <v>0.05</v>
      </c>
      <c r="T12" s="262">
        <f>'DADOS BÁSICOS LICITAÇÃO'!T12</f>
        <v>0.05</v>
      </c>
      <c r="U12" s="263">
        <f>'DADOS BÁSICOS LICITAÇÃO'!U12</f>
        <v>0.04</v>
      </c>
    </row>
    <row r="13" spans="1:21" ht="16.5">
      <c r="A13" s="257" t="str">
        <f>'DADOS BÁSICOS LICITAÇÃO'!A13</f>
        <v>Ponta Grossa/PR</v>
      </c>
      <c r="B13" s="22">
        <f>'DADOS BÁSICOS LICITAÇÃO'!B13</f>
        <v>4</v>
      </c>
      <c r="C13" s="211" t="str">
        <f>'DADOS BÁSICOS LICITAÇÃO'!C13</f>
        <v>Recepcionista</v>
      </c>
      <c r="D13" s="258" t="str">
        <f>'DADOS BÁSICOS LICITAÇÃO'!D13</f>
        <v>PR000326/2021</v>
      </c>
      <c r="E13" s="259">
        <f>'DADOS BÁSICOS LICITAÇÃO'!E13</f>
        <v>44228</v>
      </c>
      <c r="F13" s="258" t="str">
        <f>'DADOS BÁSICOS LICITAÇÃO'!F13</f>
        <v>SIEMACOxSEAC</v>
      </c>
      <c r="G13" s="208">
        <f>'DADOS BÁSICOS LICITAÇÃO'!G13</f>
        <v>220</v>
      </c>
      <c r="H13" s="218">
        <f>'DADOS BÁSICOS LICITAÇÃO'!H13</f>
        <v>1516.66</v>
      </c>
      <c r="I13" s="218">
        <f>'DADOS BÁSICOS LICITAÇÃO'!I13</f>
        <v>450</v>
      </c>
      <c r="J13" s="218">
        <f>'DADOS BÁSICOS LICITAÇÃO'!J13</f>
        <v>64</v>
      </c>
      <c r="K13" s="218">
        <f>'DADOS BÁSICOS LICITAÇÃO'!K13</f>
        <v>21</v>
      </c>
      <c r="L13" s="218">
        <f>'DADOS BÁSICOS LICITAÇÃO'!L13</f>
        <v>21</v>
      </c>
      <c r="M13" s="218">
        <f>'DADOS BÁSICOS LICITAÇÃO'!M13</f>
        <v>450</v>
      </c>
      <c r="N13" s="260">
        <f>'DADOS BÁSICOS LICITAÇÃO'!N13</f>
        <v>0.2</v>
      </c>
      <c r="O13" s="261">
        <f>'DADOS BÁSICOS LICITAÇÃO'!O13</f>
        <v>44</v>
      </c>
      <c r="P13" s="218">
        <f>'DADOS BÁSICOS LICITAÇÃO'!P13</f>
        <v>4.3</v>
      </c>
      <c r="Q13" s="262">
        <f>'DADOS BÁSICOS LICITAÇÃO'!Q13</f>
        <v>0.33710000000000001</v>
      </c>
      <c r="R13" s="262">
        <f>'DADOS BÁSICOS LICITAÇÃO'!R13</f>
        <v>0.33710000000000001</v>
      </c>
      <c r="S13" s="262">
        <f>'DADOS BÁSICOS LICITAÇÃO'!S13</f>
        <v>0.05</v>
      </c>
      <c r="T13" s="262">
        <f>'DADOS BÁSICOS LICITAÇÃO'!T13</f>
        <v>0.05</v>
      </c>
      <c r="U13" s="263">
        <f>'DADOS BÁSICOS LICITAÇÃO'!U13</f>
        <v>0.05</v>
      </c>
    </row>
    <row r="14" spans="1:21" ht="16.5">
      <c r="A14" s="257" t="str">
        <f>'DADOS BÁSICOS LICITAÇÃO'!A14</f>
        <v>Curitiba/PR</v>
      </c>
      <c r="B14" s="22">
        <f>'DADOS BÁSICOS LICITAÇÃO'!B14</f>
        <v>2</v>
      </c>
      <c r="C14" s="211" t="str">
        <f>'DADOS BÁSICOS LICITAÇÃO'!C14</f>
        <v>Telefonista</v>
      </c>
      <c r="D14" s="258" t="str">
        <f>'DADOS BÁSICOS LICITAÇÃO'!D14</f>
        <v>PR000326/2021</v>
      </c>
      <c r="E14" s="259">
        <f>'DADOS BÁSICOS LICITAÇÃO'!E14</f>
        <v>44228</v>
      </c>
      <c r="F14" s="258" t="str">
        <f>'DADOS BÁSICOS LICITAÇÃO'!F14</f>
        <v>SIEMACOxSEAC</v>
      </c>
      <c r="G14" s="208">
        <f>'DADOS BÁSICOS LICITAÇÃO'!G14</f>
        <v>180</v>
      </c>
      <c r="H14" s="218">
        <f>'DADOS BÁSICOS LICITAÇÃO'!H14</f>
        <v>1415.56</v>
      </c>
      <c r="I14" s="218">
        <f>'DADOS BÁSICOS LICITAÇÃO'!I14</f>
        <v>450</v>
      </c>
      <c r="J14" s="218">
        <f>'DADOS BÁSICOS LICITAÇÃO'!J14</f>
        <v>64</v>
      </c>
      <c r="K14" s="218">
        <f>'DADOS BÁSICOS LICITAÇÃO'!K14</f>
        <v>21</v>
      </c>
      <c r="L14" s="218">
        <f>'DADOS BÁSICOS LICITAÇÃO'!L14</f>
        <v>21</v>
      </c>
      <c r="M14" s="218">
        <f>'DADOS BÁSICOS LICITAÇÃO'!M14</f>
        <v>450</v>
      </c>
      <c r="N14" s="260">
        <f>'DADOS BÁSICOS LICITAÇÃO'!N14</f>
        <v>0.2</v>
      </c>
      <c r="O14" s="261">
        <f>'DADOS BÁSICOS LICITAÇÃO'!O14</f>
        <v>44</v>
      </c>
      <c r="P14" s="218">
        <f>'DADOS BÁSICOS LICITAÇÃO'!P14</f>
        <v>4.5</v>
      </c>
      <c r="Q14" s="262">
        <f>'DADOS BÁSICOS LICITAÇÃO'!Q14</f>
        <v>0.33710000000000001</v>
      </c>
      <c r="R14" s="262">
        <f>'DADOS BÁSICOS LICITAÇÃO'!R14</f>
        <v>0.33710000000000001</v>
      </c>
      <c r="S14" s="262">
        <f>'DADOS BÁSICOS LICITAÇÃO'!S14</f>
        <v>0.05</v>
      </c>
      <c r="T14" s="262">
        <f>'DADOS BÁSICOS LICITAÇÃO'!T14</f>
        <v>0.05</v>
      </c>
      <c r="U14" s="263">
        <f>'DADOS BÁSICOS LICITAÇÃO'!U14</f>
        <v>0.05</v>
      </c>
    </row>
    <row r="15" spans="1:21" ht="16.5">
      <c r="A15" s="196"/>
      <c r="B15" s="197"/>
      <c r="C15" s="198"/>
      <c r="D15" s="198"/>
      <c r="E15" s="198"/>
      <c r="F15" s="199"/>
      <c r="G15" s="198"/>
      <c r="H15" s="29"/>
      <c r="I15" s="200"/>
      <c r="J15" s="200"/>
      <c r="K15" s="200"/>
      <c r="L15" s="200"/>
      <c r="M15" s="200"/>
      <c r="N15" s="200"/>
      <c r="O15" s="201"/>
      <c r="P15" s="29"/>
      <c r="Q15" s="202"/>
      <c r="R15" s="201"/>
      <c r="S15" s="201"/>
      <c r="T15" s="32"/>
      <c r="U15" s="32"/>
    </row>
    <row r="16" spans="1:21" ht="66">
      <c r="A16" s="264" t="s">
        <v>11</v>
      </c>
      <c r="B16" s="264" t="s">
        <v>12</v>
      </c>
      <c r="C16" s="265" t="s">
        <v>236</v>
      </c>
      <c r="D16" s="265" t="s">
        <v>196</v>
      </c>
      <c r="E16" s="265" t="s">
        <v>238</v>
      </c>
      <c r="F16" s="265" t="s">
        <v>237</v>
      </c>
      <c r="G16" s="198"/>
      <c r="H16" s="29"/>
      <c r="I16" s="200"/>
      <c r="J16" s="200"/>
      <c r="K16" s="200"/>
      <c r="L16" s="200"/>
      <c r="M16" s="200"/>
      <c r="N16" s="200"/>
      <c r="O16" s="201"/>
      <c r="P16" s="29"/>
      <c r="Q16" s="202"/>
      <c r="R16" s="201"/>
      <c r="S16" s="201"/>
      <c r="T16" s="32"/>
      <c r="U16" s="32"/>
    </row>
    <row r="17" spans="1:21" ht="16.5">
      <c r="A17" s="23" t="str">
        <f>'DADOS BÁSICOS LICITAÇÃO'!A17</f>
        <v>4221-05</v>
      </c>
      <c r="B17" s="23" t="str">
        <f>'DADOS BÁSICOS LICITAÇÃO'!B17</f>
        <v>Recepcionista</v>
      </c>
      <c r="C17" s="195">
        <f>'DADOS BÁSICOS LICITAÇÃO'!C17</f>
        <v>200</v>
      </c>
      <c r="D17" s="195">
        <f>'DADOS BÁSICOS LICITAÇÃO'!D17</f>
        <v>1</v>
      </c>
      <c r="E17" s="403">
        <f>'DADOS BÁSICOS LICITAÇÃO'!E17</f>
        <v>12</v>
      </c>
      <c r="F17" s="403">
        <f>'DADOS BÁSICOS LICITAÇÃO'!F17</f>
        <v>22</v>
      </c>
      <c r="G17" s="198"/>
      <c r="H17" s="29"/>
      <c r="I17" s="200"/>
      <c r="J17" s="200"/>
      <c r="K17" s="200"/>
      <c r="L17" s="200"/>
      <c r="M17" s="200"/>
      <c r="N17" s="200"/>
      <c r="O17" s="201"/>
      <c r="P17" s="29"/>
      <c r="Q17" s="202"/>
      <c r="R17" s="201"/>
      <c r="S17" s="201"/>
      <c r="T17" s="32"/>
      <c r="U17" s="32"/>
    </row>
    <row r="18" spans="1:21" ht="16.5">
      <c r="A18" s="23" t="str">
        <f>'DADOS BÁSICOS LICITAÇÃO'!A18</f>
        <v>4222-05</v>
      </c>
      <c r="B18" s="23" t="str">
        <f>'DADOS BÁSICOS LICITAÇÃO'!B18</f>
        <v>Telefonista</v>
      </c>
      <c r="C18" s="195">
        <f>'DADOS BÁSICOS LICITAÇÃO'!C18</f>
        <v>150</v>
      </c>
      <c r="D18" s="195">
        <f>'DADOS BÁSICOS LICITAÇÃO'!D18</f>
        <v>1</v>
      </c>
      <c r="E18" s="404">
        <f>'DADOS BÁSICOS LICITAÇÃO'!E18</f>
        <v>0</v>
      </c>
      <c r="F18" s="404">
        <f>'DADOS BÁSICOS LICITAÇÃO'!F18</f>
        <v>0</v>
      </c>
      <c r="G18" s="198"/>
      <c r="H18" s="29"/>
      <c r="I18" s="200"/>
      <c r="J18" s="200"/>
      <c r="K18" s="200"/>
      <c r="L18" s="200"/>
      <c r="M18" s="200"/>
      <c r="N18" s="200"/>
      <c r="O18" s="201"/>
      <c r="P18" s="29"/>
      <c r="Q18" s="202"/>
      <c r="R18" s="201"/>
      <c r="S18" s="201"/>
      <c r="T18" s="32"/>
      <c r="U18" s="32"/>
    </row>
    <row r="19" spans="1:21" ht="16.5">
      <c r="A19" s="196"/>
      <c r="B19" s="197"/>
      <c r="C19" s="198"/>
      <c r="D19" s="198"/>
      <c r="E19" s="198"/>
      <c r="F19" s="199"/>
      <c r="G19" s="198"/>
      <c r="H19" s="29"/>
      <c r="I19" s="200"/>
      <c r="J19" s="200"/>
      <c r="K19" s="200"/>
      <c r="L19" s="200"/>
      <c r="M19" s="200"/>
      <c r="N19" s="200"/>
      <c r="O19" s="201"/>
      <c r="P19" s="29"/>
      <c r="Q19" s="202"/>
      <c r="R19" s="201"/>
      <c r="S19" s="201"/>
      <c r="T19" s="32"/>
      <c r="U19" s="32"/>
    </row>
    <row r="20" spans="1:21" ht="16.5">
      <c r="A20" s="355" t="s">
        <v>175</v>
      </c>
      <c r="B20" s="355"/>
      <c r="C20" s="355"/>
      <c r="D20" s="205"/>
      <c r="I20" s="200"/>
      <c r="J20" s="200"/>
      <c r="K20" s="200"/>
      <c r="L20" s="200"/>
      <c r="M20" s="200"/>
      <c r="N20" s="200"/>
      <c r="O20" s="201"/>
      <c r="P20" s="29"/>
      <c r="Q20" s="202"/>
      <c r="R20" s="201"/>
      <c r="S20" s="201"/>
      <c r="T20" s="32"/>
      <c r="U20" s="32"/>
    </row>
    <row r="21" spans="1:21" ht="33">
      <c r="A21" s="266" t="s">
        <v>2</v>
      </c>
      <c r="B21" s="267" t="s">
        <v>176</v>
      </c>
      <c r="C21" s="267" t="s">
        <v>240</v>
      </c>
      <c r="I21" s="200"/>
      <c r="J21" s="200"/>
      <c r="K21" s="200"/>
      <c r="L21" s="200"/>
      <c r="M21" s="200"/>
      <c r="N21" s="200"/>
      <c r="O21" s="201"/>
      <c r="P21" s="29"/>
      <c r="Q21" s="202"/>
      <c r="R21" s="201"/>
      <c r="S21" s="201"/>
      <c r="T21" s="32"/>
      <c r="U21" s="32"/>
    </row>
    <row r="22" spans="1:21" ht="17.5">
      <c r="A22" s="23" t="str">
        <f>'DADOS BÁSICOS LICITAÇÃO'!A22</f>
        <v xml:space="preserve">Hora Extra 50% </v>
      </c>
      <c r="B22" s="208">
        <f>'DADOS BÁSICOS LICITAÇÃO'!B22</f>
        <v>90</v>
      </c>
      <c r="C22" s="209">
        <f>'DADOS BÁSICOS LICITAÇÃO'!C22</f>
        <v>1.05</v>
      </c>
      <c r="I22" s="200"/>
      <c r="J22" s="200"/>
      <c r="K22" s="200"/>
      <c r="L22" s="200"/>
      <c r="M22" s="200"/>
      <c r="N22" s="200"/>
      <c r="O22" s="201"/>
      <c r="P22" s="29"/>
      <c r="Q22" s="202"/>
      <c r="R22" s="201"/>
      <c r="S22" s="201"/>
      <c r="T22" s="32"/>
      <c r="U22" s="32"/>
    </row>
    <row r="23" spans="1:21" ht="16.5">
      <c r="A23" s="196"/>
      <c r="B23" s="197"/>
      <c r="C23" s="198"/>
      <c r="D23" s="198"/>
      <c r="E23" s="198"/>
      <c r="F23" s="199"/>
      <c r="G23" s="198"/>
      <c r="H23" s="29"/>
      <c r="I23" s="200"/>
      <c r="J23" s="200"/>
      <c r="K23" s="200"/>
      <c r="L23" s="200"/>
      <c r="M23" s="200"/>
      <c r="N23" s="200"/>
      <c r="O23" s="201"/>
      <c r="P23" s="29"/>
      <c r="Q23" s="202"/>
      <c r="R23" s="201"/>
      <c r="S23" s="201"/>
      <c r="T23" s="32"/>
      <c r="U23" s="32"/>
    </row>
    <row r="24" spans="1:21" ht="21">
      <c r="A24" s="356"/>
      <c r="B24" s="355" t="s">
        <v>249</v>
      </c>
      <c r="C24" s="355"/>
      <c r="D24" s="205"/>
    </row>
    <row r="25" spans="1:21" ht="14.25" customHeight="1">
      <c r="A25" s="357"/>
      <c r="B25" s="405" t="str">
        <f>'DADOS BÁSICOS LICITAÇÃO'!B25</f>
        <v>LUCRO PRESUMIDO</v>
      </c>
      <c r="C25" s="406"/>
      <c r="D25" s="210"/>
      <c r="G25" s="210"/>
    </row>
    <row r="26" spans="1:21" ht="16.5">
      <c r="A26" s="264" t="s">
        <v>250</v>
      </c>
      <c r="B26" s="264" t="s">
        <v>28</v>
      </c>
      <c r="C26" s="264" t="s">
        <v>29</v>
      </c>
    </row>
    <row r="27" spans="1:21" ht="16.5">
      <c r="A27" s="211" t="str">
        <f>'DADOS BÁSICOS LICITAÇÃO'!A27</f>
        <v>PIS</v>
      </c>
      <c r="B27" s="212">
        <f>'DADOS BÁSICOS LICITAÇÃO'!B27</f>
        <v>6.4999999999999997E-3</v>
      </c>
      <c r="C27" s="213">
        <f>'DADOS BÁSICOS LICITAÇÃO'!C27</f>
        <v>1.6500000000000001E-2</v>
      </c>
    </row>
    <row r="28" spans="1:21" ht="16.5">
      <c r="A28" s="211" t="str">
        <f>'DADOS BÁSICOS LICITAÇÃO'!A28</f>
        <v>COFINS</v>
      </c>
      <c r="B28" s="212">
        <f>'DADOS BÁSICOS LICITAÇÃO'!B28</f>
        <v>0.03</v>
      </c>
      <c r="C28" s="213">
        <f>'DADOS BÁSICOS LICITAÇÃO'!C28</f>
        <v>7.5999999999999998E-2</v>
      </c>
    </row>
    <row r="29" spans="1:21" ht="16.5">
      <c r="A29" s="211" t="str">
        <f>'DADOS BÁSICOS LICITAÇÃO'!A29</f>
        <v>INSS</v>
      </c>
      <c r="B29" s="212">
        <f>'DADOS BÁSICOS LICITAÇÃO'!B29</f>
        <v>0.2</v>
      </c>
      <c r="C29" s="212">
        <f>'DADOS BÁSICOS LICITAÇÃO'!C29</f>
        <v>0.2</v>
      </c>
    </row>
    <row r="30" spans="1:21" ht="16.5">
      <c r="A30" s="211" t="str">
        <f>'DADOS BÁSICOS LICITAÇÃO'!A30</f>
        <v>SALARIO EDUCAÇÃO</v>
      </c>
      <c r="B30" s="212">
        <f>'DADOS BÁSICOS LICITAÇÃO'!B30</f>
        <v>2.5000000000000001E-2</v>
      </c>
      <c r="C30" s="212">
        <f>'DADOS BÁSICOS LICITAÇÃO'!C30</f>
        <v>2.5000000000000001E-2</v>
      </c>
    </row>
    <row r="31" spans="1:21" ht="16.5">
      <c r="A31" s="211" t="str">
        <f>'DADOS BÁSICOS LICITAÇÃO'!A31</f>
        <v>SAT (RAT X FAP)</v>
      </c>
      <c r="B31" s="213">
        <f>'DADOS BÁSICOS LICITAÇÃO'!B31</f>
        <v>0.03</v>
      </c>
      <c r="C31" s="213">
        <f>'DADOS BÁSICOS LICITAÇÃO'!C31</f>
        <v>0.03</v>
      </c>
      <c r="I31" s="214"/>
      <c r="J31" s="214"/>
      <c r="K31" s="214"/>
    </row>
    <row r="32" spans="1:21" ht="16.5">
      <c r="A32" s="211" t="str">
        <f>'DADOS BÁSICOS LICITAÇÃO'!A32</f>
        <v>SESC ou SESI</v>
      </c>
      <c r="B32" s="212">
        <f>'DADOS BÁSICOS LICITAÇÃO'!B32</f>
        <v>1.4999999999999999E-2</v>
      </c>
      <c r="C32" s="212">
        <f>'DADOS BÁSICOS LICITAÇÃO'!C32</f>
        <v>1.4999999999999999E-2</v>
      </c>
    </row>
    <row r="33" spans="1:11" ht="16.5">
      <c r="A33" s="211" t="str">
        <f>'DADOS BÁSICOS LICITAÇÃO'!A33</f>
        <v>SENAI ou SENAC</v>
      </c>
      <c r="B33" s="212">
        <f>'DADOS BÁSICOS LICITAÇÃO'!B33</f>
        <v>0.01</v>
      </c>
      <c r="C33" s="212">
        <f>'DADOS BÁSICOS LICITAÇÃO'!C33</f>
        <v>0.01</v>
      </c>
      <c r="I33" s="215"/>
      <c r="J33" s="215"/>
      <c r="K33" s="216"/>
    </row>
    <row r="34" spans="1:11" ht="16.5">
      <c r="A34" s="211" t="str">
        <f>'DADOS BÁSICOS LICITAÇÃO'!A34</f>
        <v>SEBRAE</v>
      </c>
      <c r="B34" s="212">
        <f>'DADOS BÁSICOS LICITAÇÃO'!B34</f>
        <v>6.0000000000000001E-3</v>
      </c>
      <c r="C34" s="212">
        <f>'DADOS BÁSICOS LICITAÇÃO'!C34</f>
        <v>6.0000000000000001E-3</v>
      </c>
      <c r="I34" s="215"/>
      <c r="J34" s="215"/>
      <c r="K34" s="217"/>
    </row>
    <row r="35" spans="1:11" ht="16.5">
      <c r="A35" s="211" t="str">
        <f>'DADOS BÁSICOS LICITAÇÃO'!A35</f>
        <v>INCRA</v>
      </c>
      <c r="B35" s="212">
        <f>'DADOS BÁSICOS LICITAÇÃO'!B35</f>
        <v>2E-3</v>
      </c>
      <c r="C35" s="212">
        <f>'DADOS BÁSICOS LICITAÇÃO'!C35</f>
        <v>2E-3</v>
      </c>
    </row>
    <row r="36" spans="1:11" ht="16.5">
      <c r="A36" s="211" t="str">
        <f>'DADOS BÁSICOS LICITAÇÃO'!A36</f>
        <v>FGTS</v>
      </c>
      <c r="B36" s="212">
        <f>'DADOS BÁSICOS LICITAÇÃO'!B36</f>
        <v>0.08</v>
      </c>
      <c r="C36" s="212">
        <f>'DADOS BÁSICOS LICITAÇÃO'!C36</f>
        <v>0.08</v>
      </c>
    </row>
    <row r="38" spans="1:11" ht="17.5">
      <c r="A38" s="355" t="s">
        <v>252</v>
      </c>
      <c r="B38" s="355"/>
      <c r="C38" s="355"/>
      <c r="D38" s="355"/>
    </row>
    <row r="39" spans="1:11" ht="33">
      <c r="A39" s="266" t="s">
        <v>2</v>
      </c>
      <c r="B39" s="267" t="s">
        <v>179</v>
      </c>
      <c r="C39" s="266" t="s">
        <v>41</v>
      </c>
      <c r="D39" s="266" t="s">
        <v>42</v>
      </c>
    </row>
    <row r="40" spans="1:11" ht="17.5">
      <c r="A40" s="208" t="str">
        <f>'DADOS BÁSICOS LICITAÇÃO'!A40</f>
        <v>Camisa Polo</v>
      </c>
      <c r="B40" s="208">
        <f>3*(SUM($B$8:$B$14))</f>
        <v>264</v>
      </c>
      <c r="C40" s="218">
        <f>'DADOS BÁSICOS LICITAÇÃO'!C40</f>
        <v>36.97</v>
      </c>
      <c r="D40" s="219">
        <f>C40*B40</f>
        <v>9760.08</v>
      </c>
    </row>
    <row r="41" spans="1:11" ht="17.5">
      <c r="A41" s="208" t="str">
        <f>'DADOS BÁSICOS LICITAÇÃO'!A41</f>
        <v>Blusas de lã</v>
      </c>
      <c r="B41" s="208">
        <f>1*(SUM($B$8:$B$14))</f>
        <v>88</v>
      </c>
      <c r="C41" s="218">
        <f>'DADOS BÁSICOS LICITAÇÃO'!C41</f>
        <v>82.25</v>
      </c>
      <c r="D41" s="219">
        <f t="shared" ref="D41:D43" si="0">C41*B41</f>
        <v>7238</v>
      </c>
    </row>
    <row r="42" spans="1:11" ht="17.5">
      <c r="A42" s="208" t="str">
        <f>'DADOS BÁSICOS LICITAÇÃO'!A42</f>
        <v>Jaquetas de Nylon</v>
      </c>
      <c r="B42" s="208">
        <f>1*(SUM($B$8:$B$14))</f>
        <v>88</v>
      </c>
      <c r="C42" s="218">
        <f>'DADOS BÁSICOS LICITAÇÃO'!C42</f>
        <v>123.38</v>
      </c>
      <c r="D42" s="219">
        <f t="shared" si="0"/>
        <v>10857.44</v>
      </c>
    </row>
    <row r="43" spans="1:11" ht="17.5">
      <c r="A43" s="208" t="str">
        <f>'DADOS BÁSICOS LICITAÇÃO'!A43</f>
        <v>Calça/Saia Jeans</v>
      </c>
      <c r="B43" s="208">
        <f>2*(SUM($B$8:$B$14))</f>
        <v>176</v>
      </c>
      <c r="C43" s="218">
        <f>'DADOS BÁSICOS LICITAÇÃO'!C43</f>
        <v>55.39</v>
      </c>
      <c r="D43" s="219">
        <f t="shared" si="0"/>
        <v>9748.64</v>
      </c>
    </row>
    <row r="44" spans="1:11" ht="17.5">
      <c r="A44" s="354" t="s">
        <v>293</v>
      </c>
      <c r="B44" s="354"/>
      <c r="C44" s="354"/>
      <c r="D44" s="219">
        <f>SUM(D40:D43)</f>
        <v>37604.160000000003</v>
      </c>
    </row>
    <row r="45" spans="1:11" ht="17.5">
      <c r="A45" s="354" t="s">
        <v>294</v>
      </c>
      <c r="B45" s="354"/>
      <c r="C45" s="354"/>
      <c r="D45" s="220">
        <f>D44/SUM(B8:B14)</f>
        <v>427.32</v>
      </c>
    </row>
    <row r="46" spans="1:11" ht="17.5">
      <c r="A46" s="354" t="s">
        <v>295</v>
      </c>
      <c r="B46" s="354"/>
      <c r="C46" s="354"/>
      <c r="D46" s="220">
        <f>D45/12</f>
        <v>35.61</v>
      </c>
    </row>
    <row r="48" spans="1:11" ht="16.5">
      <c r="A48" s="355" t="s">
        <v>254</v>
      </c>
      <c r="B48" s="355"/>
      <c r="C48" s="355"/>
      <c r="D48" s="355"/>
    </row>
    <row r="49" spans="1:8" ht="33">
      <c r="A49" s="268" t="s">
        <v>2</v>
      </c>
      <c r="B49" s="269" t="s">
        <v>45</v>
      </c>
      <c r="C49" s="268" t="s">
        <v>41</v>
      </c>
      <c r="D49" s="268" t="s">
        <v>46</v>
      </c>
    </row>
    <row r="50" spans="1:8" ht="16.5">
      <c r="A50" s="218">
        <f>'DADOS BÁSICOS LICITAÇÃO'!A$50</f>
        <v>0</v>
      </c>
      <c r="B50" s="218">
        <f>'DADOS BÁSICOS LICITAÇÃO'!B$50</f>
        <v>0</v>
      </c>
      <c r="C50" s="218">
        <f>'DADOS BÁSICOS LICITAÇÃO'!C$50</f>
        <v>0</v>
      </c>
      <c r="D50" s="218">
        <f>'DADOS BÁSICOS LICITAÇÃO'!D$50</f>
        <v>0</v>
      </c>
    </row>
    <row r="51" spans="1:8" ht="16.5">
      <c r="A51" s="27"/>
      <c r="B51" s="27"/>
      <c r="C51" s="221"/>
      <c r="D51" s="221"/>
    </row>
    <row r="52" spans="1:8" ht="16.5">
      <c r="A52" s="355" t="s">
        <v>253</v>
      </c>
      <c r="B52" s="355"/>
      <c r="C52" s="355"/>
      <c r="D52" s="355"/>
      <c r="E52" s="355"/>
      <c r="F52" s="355"/>
      <c r="G52" s="355"/>
    </row>
    <row r="53" spans="1:8" s="33" customFormat="1" ht="33">
      <c r="A53" s="268" t="s">
        <v>2</v>
      </c>
      <c r="B53" s="269" t="s">
        <v>48</v>
      </c>
      <c r="C53" s="269" t="s">
        <v>49</v>
      </c>
      <c r="D53" s="268" t="s">
        <v>41</v>
      </c>
      <c r="E53" s="268" t="s">
        <v>46</v>
      </c>
      <c r="F53" s="268" t="s">
        <v>50</v>
      </c>
      <c r="G53" s="269" t="s">
        <v>51</v>
      </c>
    </row>
    <row r="54" spans="1:8" ht="16.5">
      <c r="A54" s="208" t="s">
        <v>52</v>
      </c>
      <c r="B54" s="208">
        <v>1</v>
      </c>
      <c r="C54" s="208">
        <v>7</v>
      </c>
      <c r="D54" s="218">
        <f>'DADOS BÁSICOS LICITAÇÃO'!D54</f>
        <v>1657.95</v>
      </c>
      <c r="E54" s="222">
        <f>D54*C54*B54</f>
        <v>11605.65</v>
      </c>
      <c r="F54" s="222">
        <f>E54*10%</f>
        <v>1160.57</v>
      </c>
      <c r="G54" s="222">
        <f>F54/12</f>
        <v>96.71</v>
      </c>
    </row>
    <row r="58" spans="1:8" ht="16.5">
      <c r="A58" s="364" t="s">
        <v>255</v>
      </c>
      <c r="B58" s="364"/>
      <c r="C58" s="364"/>
      <c r="D58" s="364"/>
      <c r="E58" s="364"/>
      <c r="F58" s="364"/>
      <c r="G58" s="365"/>
      <c r="H58" s="223" t="s">
        <v>239</v>
      </c>
    </row>
    <row r="59" spans="1:8" ht="16.5" customHeight="1">
      <c r="A59" s="154" t="s">
        <v>58</v>
      </c>
      <c r="B59" s="407" t="s">
        <v>135</v>
      </c>
      <c r="C59" s="407"/>
      <c r="D59" s="407"/>
      <c r="E59" s="407"/>
      <c r="F59" s="407"/>
      <c r="G59" s="407"/>
      <c r="H59" s="270">
        <f>SUM(H60:H67)</f>
        <v>4.8734000000000002</v>
      </c>
    </row>
    <row r="60" spans="1:8" ht="16.5">
      <c r="A60" s="140" t="s">
        <v>219</v>
      </c>
      <c r="B60" s="300" t="s">
        <v>211</v>
      </c>
      <c r="C60" s="300"/>
      <c r="D60" s="300"/>
      <c r="E60" s="300"/>
      <c r="F60" s="300"/>
      <c r="G60" s="300"/>
      <c r="H60" s="224">
        <f>'DADOS BÁSICOS LICITAÇÃO'!H60</f>
        <v>1</v>
      </c>
    </row>
    <row r="61" spans="1:8" ht="16.5" customHeight="1">
      <c r="A61" s="140" t="s">
        <v>221</v>
      </c>
      <c r="B61" s="300" t="s">
        <v>212</v>
      </c>
      <c r="C61" s="300"/>
      <c r="D61" s="300"/>
      <c r="E61" s="300"/>
      <c r="F61" s="300"/>
      <c r="G61" s="300"/>
      <c r="H61" s="224">
        <f>'DADOS BÁSICOS LICITAÇÃO'!H61</f>
        <v>3.4929999999999999</v>
      </c>
    </row>
    <row r="62" spans="1:8" ht="16.5" customHeight="1">
      <c r="A62" s="140" t="s">
        <v>222</v>
      </c>
      <c r="B62" s="300" t="s">
        <v>213</v>
      </c>
      <c r="C62" s="300"/>
      <c r="D62" s="300"/>
      <c r="E62" s="300"/>
      <c r="F62" s="300"/>
      <c r="G62" s="300"/>
      <c r="H62" s="224">
        <f>'DADOS BÁSICOS LICITAÇÃO'!H62</f>
        <v>0.26879999999999998</v>
      </c>
    </row>
    <row r="63" spans="1:8" ht="16.5">
      <c r="A63" s="140" t="s">
        <v>228</v>
      </c>
      <c r="B63" s="300" t="s">
        <v>214</v>
      </c>
      <c r="C63" s="300"/>
      <c r="D63" s="300"/>
      <c r="E63" s="300"/>
      <c r="F63" s="300"/>
      <c r="G63" s="300"/>
      <c r="H63" s="224">
        <f>'DADOS BÁSICOS LICITAÇÃO'!H63</f>
        <v>4.2599999999999999E-2</v>
      </c>
    </row>
    <row r="64" spans="1:8" ht="16.5">
      <c r="A64" s="140" t="s">
        <v>229</v>
      </c>
      <c r="B64" s="300" t="s">
        <v>215</v>
      </c>
      <c r="C64" s="300"/>
      <c r="D64" s="300"/>
      <c r="E64" s="300"/>
      <c r="F64" s="300"/>
      <c r="G64" s="300"/>
      <c r="H64" s="224">
        <f>'DADOS BÁSICOS LICITAÇÃO'!H64</f>
        <v>3.5400000000000001E-2</v>
      </c>
    </row>
    <row r="65" spans="1:8" ht="16.5">
      <c r="A65" s="140" t="s">
        <v>230</v>
      </c>
      <c r="B65" s="300" t="s">
        <v>216</v>
      </c>
      <c r="C65" s="300"/>
      <c r="D65" s="300"/>
      <c r="E65" s="300"/>
      <c r="F65" s="300"/>
      <c r="G65" s="300"/>
      <c r="H65" s="224">
        <f>'DADOS BÁSICOS LICITAÇÃO'!H65</f>
        <v>0.02</v>
      </c>
    </row>
    <row r="66" spans="1:8" ht="16.5">
      <c r="A66" s="140" t="s">
        <v>231</v>
      </c>
      <c r="B66" s="300" t="s">
        <v>217</v>
      </c>
      <c r="C66" s="300"/>
      <c r="D66" s="300"/>
      <c r="E66" s="300"/>
      <c r="F66" s="300"/>
      <c r="G66" s="300"/>
      <c r="H66" s="224">
        <f>'DADOS BÁSICOS LICITAÇÃO'!H66</f>
        <v>4.0000000000000001E-3</v>
      </c>
    </row>
    <row r="67" spans="1:8" ht="16.5">
      <c r="A67" s="140" t="s">
        <v>232</v>
      </c>
      <c r="B67" s="300" t="s">
        <v>218</v>
      </c>
      <c r="C67" s="300"/>
      <c r="D67" s="300"/>
      <c r="E67" s="300"/>
      <c r="F67" s="300"/>
      <c r="G67" s="300"/>
      <c r="H67" s="224">
        <f>'DADOS BÁSICOS LICITAÇÃO'!H67</f>
        <v>9.5999999999999992E-3</v>
      </c>
    </row>
    <row r="68" spans="1:8" ht="16.5" customHeight="1">
      <c r="A68" s="69" t="s">
        <v>60</v>
      </c>
      <c r="B68" s="301" t="s">
        <v>136</v>
      </c>
      <c r="C68" s="301"/>
      <c r="D68" s="301"/>
      <c r="E68" s="301"/>
      <c r="F68" s="301"/>
      <c r="G68" s="301"/>
      <c r="H68" s="224">
        <f>'DADOS BÁSICOS LICITAÇÃO'!H68</f>
        <v>0.19980000000000001</v>
      </c>
    </row>
    <row r="69" spans="1:8" ht="16.5" customHeight="1">
      <c r="A69" s="69" t="s">
        <v>62</v>
      </c>
      <c r="B69" s="301" t="s">
        <v>137</v>
      </c>
      <c r="C69" s="301"/>
      <c r="D69" s="301"/>
      <c r="E69" s="301"/>
      <c r="F69" s="301"/>
      <c r="G69" s="301"/>
      <c r="H69" s="224">
        <f>'DADOS BÁSICOS LICITAÇÃO'!H69</f>
        <v>0.96619999999999995</v>
      </c>
    </row>
    <row r="70" spans="1:8" ht="16.5" customHeight="1">
      <c r="A70" s="69" t="s">
        <v>64</v>
      </c>
      <c r="B70" s="301" t="s">
        <v>138</v>
      </c>
      <c r="C70" s="301"/>
      <c r="D70" s="301"/>
      <c r="E70" s="301"/>
      <c r="F70" s="301"/>
      <c r="G70" s="301"/>
      <c r="H70" s="224">
        <f>'DADOS BÁSICOS LICITAÇÃO'!H70</f>
        <v>2.4771999999999998</v>
      </c>
    </row>
    <row r="71" spans="1:8" ht="16.5" customHeight="1">
      <c r="A71" s="41" t="s">
        <v>66</v>
      </c>
      <c r="B71" s="301" t="s">
        <v>139</v>
      </c>
      <c r="C71" s="301"/>
      <c r="D71" s="301"/>
      <c r="E71" s="301"/>
      <c r="F71" s="301"/>
      <c r="G71" s="301"/>
      <c r="H71" s="224">
        <f>'DADOS BÁSICOS LICITAÇÃO'!H71</f>
        <v>0</v>
      </c>
    </row>
  </sheetData>
  <sheetProtection algorithmName="SHA-512" hashValue="BOj04sKDLTQM25UXmFc+qpxkUabg2hkPU8NgFZaIwMHgKtzr0bdJ+4gEK9kSqoFSq4dqAhtIjPaQsdjmHRAz3A==" saltValue="quQM5n1u/yqY3TySOfuxzQ==" spinCount="100000" sheet="1" objects="1" scenarios="1"/>
  <mergeCells count="28">
    <mergeCell ref="A24:A25"/>
    <mergeCell ref="B24:C24"/>
    <mergeCell ref="B25:C25"/>
    <mergeCell ref="A1:U1"/>
    <mergeCell ref="A2:U2"/>
    <mergeCell ref="E17:E18"/>
    <mergeCell ref="F17:F18"/>
    <mergeCell ref="A20:C20"/>
    <mergeCell ref="B63:G63"/>
    <mergeCell ref="A38:D38"/>
    <mergeCell ref="A44:C44"/>
    <mergeCell ref="A45:C45"/>
    <mergeCell ref="A46:C46"/>
    <mergeCell ref="A48:D48"/>
    <mergeCell ref="A52:G52"/>
    <mergeCell ref="A58:G58"/>
    <mergeCell ref="B59:G59"/>
    <mergeCell ref="B60:G60"/>
    <mergeCell ref="B61:G61"/>
    <mergeCell ref="B62:G62"/>
    <mergeCell ref="B70:G70"/>
    <mergeCell ref="B71:G71"/>
    <mergeCell ref="B64:G64"/>
    <mergeCell ref="B65:G65"/>
    <mergeCell ref="B66:G66"/>
    <mergeCell ref="B67:G67"/>
    <mergeCell ref="B68:G68"/>
    <mergeCell ref="B69:G69"/>
  </mergeCells>
  <dataValidations count="1">
    <dataValidation type="list" allowBlank="1" showInputMessage="1" showErrorMessage="1" sqref="B25" xr:uid="{22531146-2385-487F-AD33-318FB361E47B}">
      <formula1>$B$26:$C$26</formula1>
    </dataValidation>
  </dataValidations>
  <pageMargins left="0.511811024" right="0.511811024" top="0.78740157500000008" bottom="0.78740157500000008" header="0.31496062000000008" footer="0.31496062000000008"/>
  <pageSetup paperSize="9" scale="32" fitToWidth="0" fitToHeight="0" orientation="portrait" r:id="rId1"/>
  <colBreaks count="1" manualBreakCount="1">
    <brk id="14"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9491C-F4A9-4BE3-8739-786098C964B4}">
  <dimension ref="A1:T273"/>
  <sheetViews>
    <sheetView topLeftCell="A23" zoomScale="90" zoomScaleNormal="90" workbookViewId="0">
      <selection activeCell="P47" sqref="P47"/>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9.1796875" style="35" bestFit="1" customWidth="1"/>
    <col min="8" max="8" width="15.81640625" style="35" bestFit="1" customWidth="1"/>
    <col min="9" max="9" width="13.54296875" style="189" bestFit="1" customWidth="1"/>
    <col min="10" max="10" width="15.81640625" style="35" bestFit="1" customWidth="1"/>
    <col min="11" max="11" width="13.54296875" style="35" bestFit="1" customWidth="1"/>
    <col min="12" max="12" width="15.81640625" style="35" bestFit="1" customWidth="1"/>
    <col min="13" max="13" width="13.54296875" style="35" bestFit="1" customWidth="1"/>
    <col min="14" max="14" width="15.81640625" style="35" bestFit="1" customWidth="1"/>
    <col min="15" max="15" width="13.54296875" style="35" bestFit="1" customWidth="1"/>
    <col min="16" max="16" width="15.81640625" style="35" bestFit="1" customWidth="1"/>
    <col min="17" max="17" width="13.54296875" style="35" bestFit="1" customWidth="1"/>
    <col min="18" max="18" width="15.81640625" style="35" bestFit="1" customWidth="1"/>
    <col min="19" max="19" width="13.54296875" style="35" bestFit="1" customWidth="1"/>
    <col min="20" max="20" width="11.7265625" style="35" customWidth="1"/>
    <col min="21" max="16384" width="11.7265625" style="35"/>
  </cols>
  <sheetData>
    <row r="1" spans="1:19" ht="48" customHeight="1">
      <c r="A1" s="385" t="s">
        <v>53</v>
      </c>
      <c r="B1" s="385"/>
      <c r="C1" s="385"/>
      <c r="D1" s="385"/>
      <c r="E1" s="385"/>
      <c r="F1" s="385"/>
      <c r="G1" s="385"/>
      <c r="H1" s="385"/>
      <c r="I1" s="385"/>
      <c r="J1" s="385"/>
      <c r="K1" s="385"/>
      <c r="L1" s="385"/>
      <c r="M1" s="385"/>
      <c r="N1" s="385"/>
      <c r="O1" s="385"/>
      <c r="P1" s="385"/>
      <c r="Q1" s="385"/>
      <c r="R1" s="385"/>
      <c r="S1" s="385"/>
    </row>
    <row r="2" spans="1:19" ht="12.75" customHeight="1">
      <c r="A2" s="349" t="s">
        <v>54</v>
      </c>
      <c r="B2" s="349"/>
      <c r="C2" s="349"/>
      <c r="D2" s="349"/>
      <c r="E2" s="349"/>
      <c r="F2" s="349"/>
      <c r="G2" s="349"/>
      <c r="H2" s="349"/>
      <c r="I2" s="349"/>
      <c r="J2" s="349"/>
      <c r="K2" s="349"/>
      <c r="L2" s="349"/>
      <c r="M2" s="349"/>
      <c r="N2" s="349"/>
      <c r="O2" s="349"/>
      <c r="P2" s="349"/>
      <c r="Q2" s="349"/>
      <c r="R2" s="349"/>
      <c r="S2" s="349"/>
    </row>
    <row r="3" spans="1:19" ht="12.75" customHeight="1">
      <c r="A3" s="349" t="s">
        <v>55</v>
      </c>
      <c r="B3" s="349"/>
      <c r="C3" s="349"/>
      <c r="D3" s="349"/>
      <c r="E3" s="349"/>
      <c r="F3" s="349"/>
      <c r="G3" s="349"/>
      <c r="H3" s="349"/>
      <c r="I3" s="349"/>
      <c r="J3" s="349"/>
      <c r="K3" s="349"/>
      <c r="L3" s="349"/>
      <c r="M3" s="349"/>
      <c r="N3" s="349"/>
      <c r="O3" s="349"/>
      <c r="P3" s="349"/>
      <c r="Q3" s="349"/>
      <c r="R3" s="349"/>
      <c r="S3" s="349"/>
    </row>
    <row r="4" spans="1:19" ht="12.75" customHeight="1">
      <c r="A4" s="350" t="s">
        <v>56</v>
      </c>
      <c r="B4" s="350"/>
      <c r="C4" s="350"/>
      <c r="D4" s="350"/>
      <c r="E4" s="350"/>
      <c r="F4" s="350"/>
      <c r="G4" s="350"/>
      <c r="H4" s="350"/>
      <c r="I4" s="350"/>
      <c r="J4" s="350"/>
      <c r="K4" s="350"/>
      <c r="L4" s="350"/>
      <c r="M4" s="350"/>
      <c r="N4" s="350"/>
      <c r="O4" s="350"/>
      <c r="P4" s="350"/>
      <c r="Q4" s="350"/>
      <c r="R4" s="350"/>
      <c r="S4" s="350"/>
    </row>
    <row r="5" spans="1:19" ht="12.75" customHeight="1">
      <c r="A5" s="351"/>
      <c r="B5" s="351"/>
      <c r="C5" s="351"/>
      <c r="D5" s="351"/>
      <c r="E5" s="351"/>
      <c r="F5" s="351"/>
      <c r="G5" s="351"/>
      <c r="H5" s="351"/>
      <c r="I5" s="351"/>
    </row>
    <row r="6" spans="1:19" ht="21" customHeight="1" thickBot="1">
      <c r="A6" s="352" t="s">
        <v>57</v>
      </c>
      <c r="B6" s="352"/>
      <c r="C6" s="352"/>
      <c r="D6" s="352"/>
      <c r="E6" s="352"/>
      <c r="F6" s="352"/>
      <c r="G6" s="352"/>
      <c r="H6" s="352"/>
      <c r="I6" s="352"/>
      <c r="J6" s="352"/>
      <c r="K6" s="352"/>
      <c r="L6" s="352"/>
      <c r="M6" s="352"/>
      <c r="N6" s="352"/>
      <c r="O6" s="352"/>
      <c r="P6" s="352"/>
      <c r="Q6" s="352"/>
      <c r="R6" s="352"/>
      <c r="S6" s="352"/>
    </row>
    <row r="7" spans="1:19" ht="12.75" customHeight="1">
      <c r="A7" s="36" t="s">
        <v>58</v>
      </c>
      <c r="B7" s="302" t="s">
        <v>59</v>
      </c>
      <c r="C7" s="303"/>
      <c r="D7" s="303"/>
      <c r="E7" s="303"/>
      <c r="F7" s="303"/>
      <c r="G7" s="284"/>
      <c r="H7" s="346">
        <f ca="1">'DADOS BÁSICOS 4º ANO'!$A$4</f>
        <v>44344</v>
      </c>
      <c r="I7" s="346"/>
      <c r="J7" s="346">
        <f ca="1">'DADOS BÁSICOS 4º ANO'!$A$4</f>
        <v>44344</v>
      </c>
      <c r="K7" s="346"/>
      <c r="L7" s="346">
        <f ca="1">'DADOS BÁSICOS 4º ANO'!$A$4</f>
        <v>44344</v>
      </c>
      <c r="M7" s="346"/>
      <c r="N7" s="346">
        <f ca="1">'DADOS BÁSICOS 4º ANO'!$A$4</f>
        <v>44344</v>
      </c>
      <c r="O7" s="346"/>
      <c r="P7" s="346">
        <f ca="1">'DADOS BÁSICOS 4º ANO'!$A$4</f>
        <v>44344</v>
      </c>
      <c r="Q7" s="346"/>
      <c r="R7" s="346">
        <f ca="1">'DADOS BÁSICOS 4º ANO'!$A$4</f>
        <v>44344</v>
      </c>
      <c r="S7" s="346"/>
    </row>
    <row r="8" spans="1:19" ht="12.75" customHeight="1">
      <c r="A8" s="36" t="s">
        <v>60</v>
      </c>
      <c r="B8" s="286" t="s">
        <v>61</v>
      </c>
      <c r="C8" s="286"/>
      <c r="D8" s="286"/>
      <c r="E8" s="286"/>
      <c r="F8" s="286"/>
      <c r="G8" s="286"/>
      <c r="H8" s="345" t="str">
        <f>'DADOS BÁSICOS 4º ANO'!A8</f>
        <v>Curitiba/PR</v>
      </c>
      <c r="I8" s="345"/>
      <c r="J8" s="387" t="str">
        <f>'DADOS BÁSICOS 4º ANO'!A9</f>
        <v>Guarapuava/PR</v>
      </c>
      <c r="K8" s="387"/>
      <c r="L8" s="387" t="str">
        <f>'DADOS BÁSICOS 4º ANO'!A10</f>
        <v>Londrina/PR</v>
      </c>
      <c r="M8" s="387"/>
      <c r="N8" s="387" t="str">
        <f>'DADOS BÁSICOS 4º ANO'!A11</f>
        <v>Maringá/PR</v>
      </c>
      <c r="O8" s="387"/>
      <c r="P8" s="387" t="str">
        <f>'DADOS BÁSICOS 4º ANO'!A12</f>
        <v>Paranaguá/PR</v>
      </c>
      <c r="Q8" s="387"/>
      <c r="R8" s="387" t="str">
        <f>'DADOS BÁSICOS 4º ANO'!A13</f>
        <v>Ponta Grossa/PR</v>
      </c>
      <c r="S8" s="387"/>
    </row>
    <row r="9" spans="1:19" ht="12.75" customHeight="1">
      <c r="A9" s="36" t="s">
        <v>62</v>
      </c>
      <c r="B9" s="286" t="s">
        <v>63</v>
      </c>
      <c r="C9" s="286"/>
      <c r="D9" s="286"/>
      <c r="E9" s="286"/>
      <c r="F9" s="286"/>
      <c r="G9" s="286"/>
      <c r="H9" s="344" t="str">
        <f>'DADOS BÁSICOS 4º ANO'!D8</f>
        <v>PR000326/2021</v>
      </c>
      <c r="I9" s="344"/>
      <c r="J9" s="344" t="str">
        <f>'DADOS BÁSICOS 4º ANO'!D9</f>
        <v>PR000326/2021</v>
      </c>
      <c r="K9" s="344"/>
      <c r="L9" s="344" t="str">
        <f>'DADOS BÁSICOS 4º ANO'!D10</f>
        <v>PR000326/2021</v>
      </c>
      <c r="M9" s="344"/>
      <c r="N9" s="344" t="str">
        <f>'DADOS BÁSICOS 4º ANO'!D11</f>
        <v>PR000326/2021</v>
      </c>
      <c r="O9" s="344"/>
      <c r="P9" s="344" t="str">
        <f>'DADOS BÁSICOS 4º ANO'!D12</f>
        <v>PR000326/2021</v>
      </c>
      <c r="Q9" s="344"/>
      <c r="R9" s="344" t="str">
        <f>'DADOS BÁSICOS 4º ANO'!D13</f>
        <v>PR000326/2021</v>
      </c>
      <c r="S9" s="344"/>
    </row>
    <row r="10" spans="1:19" ht="12.75" customHeight="1">
      <c r="A10" s="36" t="s">
        <v>64</v>
      </c>
      <c r="B10" s="286" t="s">
        <v>65</v>
      </c>
      <c r="C10" s="286"/>
      <c r="D10" s="286"/>
      <c r="E10" s="286"/>
      <c r="F10" s="286"/>
      <c r="G10" s="286"/>
      <c r="H10" s="344">
        <f>'DADOS BÁSICOS 4º ANO'!$E$17</f>
        <v>12</v>
      </c>
      <c r="I10" s="344"/>
      <c r="J10" s="344">
        <f>'DADOS BÁSICOS 4º ANO'!$E$17</f>
        <v>12</v>
      </c>
      <c r="K10" s="344"/>
      <c r="L10" s="344">
        <f>'DADOS BÁSICOS 4º ANO'!$E$17</f>
        <v>12</v>
      </c>
      <c r="M10" s="344"/>
      <c r="N10" s="344">
        <f>'DADOS BÁSICOS 4º ANO'!$E$17</f>
        <v>12</v>
      </c>
      <c r="O10" s="344"/>
      <c r="P10" s="344">
        <f>'DADOS BÁSICOS 4º ANO'!$E$17</f>
        <v>12</v>
      </c>
      <c r="Q10" s="344"/>
      <c r="R10" s="344">
        <f>'DADOS BÁSICOS 4º ANO'!$E$17</f>
        <v>12</v>
      </c>
      <c r="S10" s="344"/>
    </row>
    <row r="11" spans="1:19" ht="12.75" customHeight="1">
      <c r="A11" s="36" t="s">
        <v>66</v>
      </c>
      <c r="B11" s="286" t="s">
        <v>67</v>
      </c>
      <c r="C11" s="286"/>
      <c r="D11" s="286"/>
      <c r="E11" s="286"/>
      <c r="F11" s="286"/>
      <c r="G11" s="286"/>
      <c r="H11" s="344">
        <f>'DADOS BÁSICOS 4º ANO'!B8</f>
        <v>46</v>
      </c>
      <c r="I11" s="344"/>
      <c r="J11" s="344">
        <f>'DADOS BÁSICOS 4º ANO'!B9</f>
        <v>4</v>
      </c>
      <c r="K11" s="344"/>
      <c r="L11" s="344">
        <f>'DADOS BÁSICOS 4º ANO'!B10</f>
        <v>14</v>
      </c>
      <c r="M11" s="344"/>
      <c r="N11" s="344">
        <f>'DADOS BÁSICOS 4º ANO'!B11</f>
        <v>12</v>
      </c>
      <c r="O11" s="344"/>
      <c r="P11" s="344">
        <f>'DADOS BÁSICOS 4º ANO'!B12</f>
        <v>6</v>
      </c>
      <c r="Q11" s="344"/>
      <c r="R11" s="344">
        <f>'DADOS BÁSICOS 4º ANO'!B13</f>
        <v>4</v>
      </c>
      <c r="S11" s="344"/>
    </row>
    <row r="12" spans="1:19" ht="12.75" customHeight="1">
      <c r="A12" s="37" t="s">
        <v>68</v>
      </c>
      <c r="B12" s="38"/>
      <c r="C12" s="38"/>
      <c r="D12" s="38"/>
      <c r="E12" s="38"/>
      <c r="F12" s="38"/>
      <c r="G12" s="38"/>
      <c r="H12" s="39"/>
      <c r="I12" s="40"/>
      <c r="J12" s="39"/>
      <c r="K12" s="40"/>
      <c r="L12" s="39"/>
      <c r="M12" s="40"/>
      <c r="N12" s="39"/>
      <c r="O12" s="40"/>
      <c r="P12" s="39"/>
      <c r="Q12" s="40"/>
      <c r="R12" s="39"/>
      <c r="S12" s="40"/>
    </row>
    <row r="13" spans="1:19" ht="27" customHeight="1">
      <c r="A13" s="36">
        <v>1</v>
      </c>
      <c r="B13" s="286" t="s">
        <v>69</v>
      </c>
      <c r="C13" s="286"/>
      <c r="D13" s="286"/>
      <c r="E13" s="286"/>
      <c r="F13" s="286"/>
      <c r="G13" s="286"/>
      <c r="H13" s="343" t="s">
        <v>70</v>
      </c>
      <c r="I13" s="343"/>
      <c r="J13" s="343" t="s">
        <v>70</v>
      </c>
      <c r="K13" s="343"/>
      <c r="L13" s="343" t="s">
        <v>70</v>
      </c>
      <c r="M13" s="343"/>
      <c r="N13" s="343" t="s">
        <v>70</v>
      </c>
      <c r="O13" s="343"/>
      <c r="P13" s="343" t="s">
        <v>70</v>
      </c>
      <c r="Q13" s="343"/>
      <c r="R13" s="343" t="s">
        <v>70</v>
      </c>
      <c r="S13" s="343"/>
    </row>
    <row r="14" spans="1:19" ht="12.75" customHeight="1">
      <c r="A14" s="36">
        <v>2</v>
      </c>
      <c r="B14" s="286" t="s">
        <v>71</v>
      </c>
      <c r="C14" s="286"/>
      <c r="D14" s="286"/>
      <c r="E14" s="286"/>
      <c r="F14" s="286"/>
      <c r="G14" s="286"/>
      <c r="H14" s="342" t="str">
        <f>'DADOS BÁSICOS 4º ANO'!$A$17</f>
        <v>4221-05</v>
      </c>
      <c r="I14" s="342"/>
      <c r="J14" s="342" t="str">
        <f>'DADOS BÁSICOS 4º ANO'!$A$17</f>
        <v>4221-05</v>
      </c>
      <c r="K14" s="342"/>
      <c r="L14" s="342" t="str">
        <f>'DADOS BÁSICOS 4º ANO'!$A$17</f>
        <v>4221-05</v>
      </c>
      <c r="M14" s="342"/>
      <c r="N14" s="342" t="str">
        <f>'DADOS BÁSICOS 4º ANO'!$A$17</f>
        <v>4221-05</v>
      </c>
      <c r="O14" s="342"/>
      <c r="P14" s="342" t="str">
        <f>'DADOS BÁSICOS 4º ANO'!$A$17</f>
        <v>4221-05</v>
      </c>
      <c r="Q14" s="342"/>
      <c r="R14" s="342" t="str">
        <f>'DADOS BÁSICOS 4º ANO'!$A$17</f>
        <v>4221-05</v>
      </c>
      <c r="S14" s="342"/>
    </row>
    <row r="15" spans="1:19" ht="15" customHeight="1">
      <c r="A15" s="36">
        <v>4</v>
      </c>
      <c r="B15" s="286" t="s">
        <v>73</v>
      </c>
      <c r="C15" s="286"/>
      <c r="D15" s="286"/>
      <c r="E15" s="286"/>
      <c r="F15" s="286"/>
      <c r="G15" s="286"/>
      <c r="H15" s="342" t="str">
        <f>'DADOS BÁSICOS 4º ANO'!$B$17</f>
        <v>Recepcionista</v>
      </c>
      <c r="I15" s="342"/>
      <c r="J15" s="342" t="str">
        <f>'DADOS BÁSICOS 4º ANO'!$B$17</f>
        <v>Recepcionista</v>
      </c>
      <c r="K15" s="342"/>
      <c r="L15" s="342" t="str">
        <f>'DADOS BÁSICOS 4º ANO'!$B$17</f>
        <v>Recepcionista</v>
      </c>
      <c r="M15" s="342"/>
      <c r="N15" s="342" t="str">
        <f>'DADOS BÁSICOS 4º ANO'!$B$17</f>
        <v>Recepcionista</v>
      </c>
      <c r="O15" s="342"/>
      <c r="P15" s="342" t="str">
        <f>'DADOS BÁSICOS 4º ANO'!$B$17</f>
        <v>Recepcionista</v>
      </c>
      <c r="Q15" s="342"/>
      <c r="R15" s="342" t="str">
        <f>'DADOS BÁSICOS 4º ANO'!$B$17</f>
        <v>Recepcionista</v>
      </c>
      <c r="S15" s="342"/>
    </row>
    <row r="16" spans="1:19" ht="12.75" customHeight="1">
      <c r="A16" s="41">
        <v>5</v>
      </c>
      <c r="B16" s="286" t="s">
        <v>74</v>
      </c>
      <c r="C16" s="286"/>
      <c r="D16" s="286"/>
      <c r="E16" s="286"/>
      <c r="F16" s="286"/>
      <c r="G16" s="286"/>
      <c r="H16" s="384">
        <f>'DADOS BÁSICOS 4º ANO'!E8</f>
        <v>44228</v>
      </c>
      <c r="I16" s="384"/>
      <c r="J16" s="384">
        <f>'DADOS BÁSICOS 4º ANO'!E9</f>
        <v>44228</v>
      </c>
      <c r="K16" s="384"/>
      <c r="L16" s="384">
        <f>'DADOS BÁSICOS 4º ANO'!E10</f>
        <v>44228</v>
      </c>
      <c r="M16" s="384"/>
      <c r="N16" s="384">
        <f>'DADOS BÁSICOS 4º ANO'!E11</f>
        <v>44228</v>
      </c>
      <c r="O16" s="384"/>
      <c r="P16" s="384">
        <f>'DADOS BÁSICOS 4º ANO'!E12</f>
        <v>44228</v>
      </c>
      <c r="Q16" s="384"/>
      <c r="R16" s="384">
        <f>'DADOS BÁSICOS 4º ANO'!E13</f>
        <v>44228</v>
      </c>
      <c r="S16" s="384"/>
    </row>
    <row r="17" spans="1:19" ht="12.75" customHeight="1">
      <c r="A17" s="36">
        <v>3</v>
      </c>
      <c r="B17" s="286" t="s">
        <v>72</v>
      </c>
      <c r="C17" s="286"/>
      <c r="D17" s="286"/>
      <c r="E17" s="286"/>
      <c r="F17" s="286"/>
      <c r="G17" s="286"/>
      <c r="H17" s="383">
        <f>'DADOS BÁSICOS 4º ANO'!H8</f>
        <v>1516.66</v>
      </c>
      <c r="I17" s="383"/>
      <c r="J17" s="383">
        <f>'DADOS BÁSICOS 4º ANO'!H9</f>
        <v>1516.66</v>
      </c>
      <c r="K17" s="383"/>
      <c r="L17" s="383">
        <f>'DADOS BÁSICOS 4º ANO'!H10</f>
        <v>1516.66</v>
      </c>
      <c r="M17" s="383"/>
      <c r="N17" s="383">
        <f>'DADOS BÁSICOS 4º ANO'!H11</f>
        <v>1516.66</v>
      </c>
      <c r="O17" s="383"/>
      <c r="P17" s="383">
        <f>'DADOS BÁSICOS 4º ANO'!H12</f>
        <v>1516.66</v>
      </c>
      <c r="Q17" s="383"/>
      <c r="R17" s="383">
        <f>'DADOS BÁSICOS 4º ANO'!H13</f>
        <v>1516.66</v>
      </c>
      <c r="S17" s="383"/>
    </row>
    <row r="18" spans="1:19" ht="12.75" customHeight="1">
      <c r="A18" s="43">
        <v>6</v>
      </c>
      <c r="B18" s="284" t="s">
        <v>233</v>
      </c>
      <c r="C18" s="284"/>
      <c r="D18" s="284"/>
      <c r="E18" s="284"/>
      <c r="F18" s="284"/>
      <c r="G18" s="284"/>
      <c r="H18" s="382">
        <f>'DADOS BÁSICOS 4º ANO'!G8</f>
        <v>220</v>
      </c>
      <c r="I18" s="382"/>
      <c r="J18" s="336">
        <f>'DADOS BÁSICOS 4º ANO'!G9</f>
        <v>220</v>
      </c>
      <c r="K18" s="337"/>
      <c r="L18" s="336">
        <f>'DADOS BÁSICOS 4º ANO'!G10</f>
        <v>220</v>
      </c>
      <c r="M18" s="337"/>
      <c r="N18" s="336">
        <f>'DADOS BÁSICOS 4º ANO'!G11</f>
        <v>220</v>
      </c>
      <c r="O18" s="337"/>
      <c r="P18" s="336">
        <f>'DADOS BÁSICOS 4º ANO'!G12</f>
        <v>220</v>
      </c>
      <c r="Q18" s="337"/>
      <c r="R18" s="336">
        <f>'DADOS BÁSICOS 4º ANO'!G13</f>
        <v>220</v>
      </c>
      <c r="S18" s="337"/>
    </row>
    <row r="19" spans="1:19" ht="12.75" customHeight="1">
      <c r="A19" s="43">
        <v>6</v>
      </c>
      <c r="B19" s="303" t="s">
        <v>234</v>
      </c>
      <c r="C19" s="303"/>
      <c r="D19" s="303"/>
      <c r="E19" s="303"/>
      <c r="F19" s="303"/>
      <c r="G19" s="284"/>
      <c r="H19" s="336">
        <f>'DADOS BÁSICOS 4º ANO'!$C$17</f>
        <v>200</v>
      </c>
      <c r="I19" s="337"/>
      <c r="J19" s="336">
        <f>'DADOS BÁSICOS 4º ANO'!$C$17</f>
        <v>200</v>
      </c>
      <c r="K19" s="337"/>
      <c r="L19" s="336">
        <f>'DADOS BÁSICOS 4º ANO'!$C$17</f>
        <v>200</v>
      </c>
      <c r="M19" s="337"/>
      <c r="N19" s="336">
        <f>'DADOS BÁSICOS 4º ANO'!$C$17</f>
        <v>200</v>
      </c>
      <c r="O19" s="337"/>
      <c r="P19" s="336">
        <f>'DADOS BÁSICOS 4º ANO'!$C$17</f>
        <v>200</v>
      </c>
      <c r="Q19" s="337"/>
      <c r="R19" s="336">
        <f>'DADOS BÁSICOS 4º ANO'!$C$17</f>
        <v>200</v>
      </c>
      <c r="S19" s="337"/>
    </row>
    <row r="20" spans="1:19" ht="12.75" customHeight="1">
      <c r="A20" s="43">
        <v>7</v>
      </c>
      <c r="B20" s="284" t="s">
        <v>75</v>
      </c>
      <c r="C20" s="284"/>
      <c r="D20" s="284"/>
      <c r="E20" s="284"/>
      <c r="F20" s="284"/>
      <c r="G20" s="284"/>
      <c r="H20" s="336">
        <f>'DADOS BÁSICOS 4º ANO'!$F$17</f>
        <v>22</v>
      </c>
      <c r="I20" s="337"/>
      <c r="J20" s="336">
        <f>'DADOS BÁSICOS 4º ANO'!$F$17</f>
        <v>22</v>
      </c>
      <c r="K20" s="337"/>
      <c r="L20" s="336">
        <f>'DADOS BÁSICOS 4º ANO'!$F$17</f>
        <v>22</v>
      </c>
      <c r="M20" s="337"/>
      <c r="N20" s="336">
        <f>'DADOS BÁSICOS 4º ANO'!$F$17</f>
        <v>22</v>
      </c>
      <c r="O20" s="337"/>
      <c r="P20" s="336">
        <f>'DADOS BÁSICOS 4º ANO'!$F$17</f>
        <v>22</v>
      </c>
      <c r="Q20" s="337"/>
      <c r="R20" s="336">
        <f>'DADOS BÁSICOS 4º ANO'!$F$17</f>
        <v>22</v>
      </c>
      <c r="S20" s="337"/>
    </row>
    <row r="21" spans="1:19">
      <c r="A21" s="44" t="s">
        <v>76</v>
      </c>
      <c r="B21" s="38"/>
      <c r="C21" s="38"/>
      <c r="D21" s="38"/>
      <c r="E21" s="38"/>
      <c r="F21" s="38"/>
      <c r="G21" s="38"/>
      <c r="H21" s="39"/>
      <c r="I21" s="40"/>
      <c r="J21" s="39"/>
      <c r="K21" s="40"/>
      <c r="L21" s="39"/>
      <c r="M21" s="40"/>
      <c r="N21" s="39"/>
      <c r="O21" s="40"/>
      <c r="P21" s="39"/>
      <c r="Q21" s="40"/>
      <c r="R21" s="39"/>
      <c r="S21" s="40"/>
    </row>
    <row r="22" spans="1:19" ht="12.75" customHeight="1">
      <c r="A22" s="45">
        <v>1</v>
      </c>
      <c r="B22" s="288" t="s">
        <v>77</v>
      </c>
      <c r="C22" s="288"/>
      <c r="D22" s="288"/>
      <c r="E22" s="288"/>
      <c r="F22" s="288"/>
      <c r="G22" s="288"/>
      <c r="H22" s="46" t="s">
        <v>78</v>
      </c>
      <c r="I22" s="47" t="s">
        <v>79</v>
      </c>
      <c r="J22" s="46" t="s">
        <v>78</v>
      </c>
      <c r="K22" s="47" t="s">
        <v>79</v>
      </c>
      <c r="L22" s="46" t="s">
        <v>78</v>
      </c>
      <c r="M22" s="47" t="s">
        <v>79</v>
      </c>
      <c r="N22" s="46" t="s">
        <v>78</v>
      </c>
      <c r="O22" s="47" t="s">
        <v>79</v>
      </c>
      <c r="P22" s="46" t="s">
        <v>78</v>
      </c>
      <c r="Q22" s="47" t="s">
        <v>79</v>
      </c>
      <c r="R22" s="46" t="s">
        <v>78</v>
      </c>
      <c r="S22" s="47" t="s">
        <v>79</v>
      </c>
    </row>
    <row r="23" spans="1:19" ht="12.75" customHeight="1">
      <c r="A23" s="36" t="s">
        <v>58</v>
      </c>
      <c r="B23" s="286" t="s">
        <v>235</v>
      </c>
      <c r="C23" s="286"/>
      <c r="D23" s="286"/>
      <c r="E23" s="286"/>
      <c r="F23" s="286"/>
      <c r="G23" s="286"/>
      <c r="H23" s="48"/>
      <c r="I23" s="57">
        <f>(H$17/'DADOS BÁSICOS 4º ANO'!$G8)*'DADOS BÁSICOS 4º ANO'!$C$17</f>
        <v>1378.78</v>
      </c>
      <c r="J23" s="48"/>
      <c r="K23" s="57">
        <f>(J$17/'DADOS BÁSICOS 4º ANO'!$G9)*'DADOS BÁSICOS 4º ANO'!$C$17</f>
        <v>1378.78</v>
      </c>
      <c r="L23" s="48"/>
      <c r="M23" s="57">
        <f>(L$17/'DADOS BÁSICOS 4º ANO'!$G10)*'DADOS BÁSICOS 4º ANO'!$C$17</f>
        <v>1378.78</v>
      </c>
      <c r="N23" s="48"/>
      <c r="O23" s="57">
        <f>(N$17/'DADOS BÁSICOS 4º ANO'!$G11)*'DADOS BÁSICOS 4º ANO'!$C$17</f>
        <v>1378.78</v>
      </c>
      <c r="P23" s="48"/>
      <c r="Q23" s="57">
        <f>(P$17/'DADOS BÁSICOS 4º ANO'!$G12)*'DADOS BÁSICOS 4º ANO'!$C$17</f>
        <v>1378.78</v>
      </c>
      <c r="R23" s="48"/>
      <c r="S23" s="57">
        <f>(R$17/'DADOS BÁSICOS 4º ANO'!$G13)*'DADOS BÁSICOS 4º ANO'!$C$17</f>
        <v>1378.78</v>
      </c>
    </row>
    <row r="24" spans="1:19" ht="12.75" customHeight="1">
      <c r="A24" s="36" t="s">
        <v>60</v>
      </c>
      <c r="B24" s="335" t="s">
        <v>80</v>
      </c>
      <c r="C24" s="335"/>
      <c r="D24" s="335"/>
      <c r="E24" s="335"/>
      <c r="F24" s="335"/>
      <c r="G24" s="335"/>
      <c r="H24" s="50">
        <v>0.3</v>
      </c>
      <c r="I24" s="71">
        <f>I23*H24</f>
        <v>413.63</v>
      </c>
      <c r="J24" s="50">
        <v>0.3</v>
      </c>
      <c r="K24" s="71">
        <f>K23*J24</f>
        <v>413.63</v>
      </c>
      <c r="L24" s="50">
        <v>0.3</v>
      </c>
      <c r="M24" s="71">
        <f>M23*L24</f>
        <v>413.63</v>
      </c>
      <c r="N24" s="50">
        <v>0.3</v>
      </c>
      <c r="O24" s="71">
        <f>O23*N24</f>
        <v>413.63</v>
      </c>
      <c r="P24" s="50">
        <v>0.3</v>
      </c>
      <c r="Q24" s="71">
        <f>Q23*P24</f>
        <v>413.63</v>
      </c>
      <c r="R24" s="50">
        <v>0.3</v>
      </c>
      <c r="S24" s="71">
        <f>S23*R24</f>
        <v>413.63</v>
      </c>
    </row>
    <row r="25" spans="1:19" s="55" customFormat="1" ht="12.75" customHeight="1">
      <c r="A25" s="52" t="s">
        <v>62</v>
      </c>
      <c r="B25" s="335" t="s">
        <v>81</v>
      </c>
      <c r="C25" s="335"/>
      <c r="D25" s="335"/>
      <c r="E25" s="335"/>
      <c r="F25" s="335"/>
      <c r="G25" s="335"/>
      <c r="H25" s="53"/>
      <c r="I25" s="54"/>
      <c r="J25" s="53"/>
      <c r="K25" s="54"/>
      <c r="L25" s="53"/>
      <c r="M25" s="54"/>
      <c r="N25" s="53"/>
      <c r="O25" s="54"/>
      <c r="P25" s="53"/>
      <c r="Q25" s="54"/>
      <c r="R25" s="53"/>
      <c r="S25" s="54"/>
    </row>
    <row r="26" spans="1:19" s="55" customFormat="1" ht="12.75" customHeight="1">
      <c r="A26" s="52" t="s">
        <v>64</v>
      </c>
      <c r="B26" s="286" t="s">
        <v>82</v>
      </c>
      <c r="C26" s="286"/>
      <c r="D26" s="286"/>
      <c r="E26" s="286"/>
      <c r="F26" s="286"/>
      <c r="G26" s="286"/>
      <c r="H26" s="56"/>
      <c r="I26" s="57"/>
      <c r="J26" s="56"/>
      <c r="K26" s="57"/>
      <c r="L26" s="56"/>
      <c r="M26" s="57"/>
      <c r="N26" s="56"/>
      <c r="O26" s="57"/>
      <c r="P26" s="56"/>
      <c r="Q26" s="57"/>
      <c r="R26" s="56"/>
      <c r="S26" s="57"/>
    </row>
    <row r="27" spans="1:19" s="55" customFormat="1" ht="12.75" customHeight="1">
      <c r="A27" s="52" t="s">
        <v>66</v>
      </c>
      <c r="B27" s="286" t="s">
        <v>83</v>
      </c>
      <c r="C27" s="286"/>
      <c r="D27" s="286"/>
      <c r="E27" s="326"/>
      <c r="F27" s="326"/>
      <c r="G27" s="326"/>
      <c r="H27" s="58"/>
      <c r="I27" s="57"/>
      <c r="J27" s="58"/>
      <c r="K27" s="57"/>
      <c r="L27" s="58"/>
      <c r="M27" s="57"/>
      <c r="N27" s="58"/>
      <c r="O27" s="57"/>
      <c r="P27" s="58"/>
      <c r="Q27" s="57"/>
      <c r="R27" s="58"/>
      <c r="S27" s="57"/>
    </row>
    <row r="28" spans="1:19" s="55" customFormat="1" ht="12.75" customHeight="1">
      <c r="A28" s="59" t="s">
        <v>84</v>
      </c>
      <c r="B28" s="327" t="s">
        <v>171</v>
      </c>
      <c r="C28" s="328"/>
      <c r="D28" s="328"/>
      <c r="E28" s="329" t="s">
        <v>172</v>
      </c>
      <c r="F28" s="330"/>
      <c r="G28" s="331"/>
      <c r="H28" s="60">
        <f>'DADOS BÁSICOS 4º ANO'!$C$22</f>
        <v>1.05</v>
      </c>
      <c r="I28" s="57">
        <f>(((I23+I24)/H19)*(1.5))*H28</f>
        <v>14.12</v>
      </c>
      <c r="J28" s="60">
        <f>'DADOS BÁSICOS 4º ANO'!$C$22</f>
        <v>1.05</v>
      </c>
      <c r="K28" s="57">
        <f>(((K23+K24)/J19)*(1.5))*J28</f>
        <v>14.12</v>
      </c>
      <c r="L28" s="60">
        <f>'DADOS BÁSICOS 4º ANO'!$C$22</f>
        <v>1.05</v>
      </c>
      <c r="M28" s="57">
        <f>(((M23+M24)/L19)*(1.5))*L28</f>
        <v>14.12</v>
      </c>
      <c r="N28" s="60">
        <f>'DADOS BÁSICOS 4º ANO'!$C$22</f>
        <v>1.05</v>
      </c>
      <c r="O28" s="57">
        <f>(((O23+O24)/N19)*(1.5))*N28</f>
        <v>14.12</v>
      </c>
      <c r="P28" s="60">
        <f>'DADOS BÁSICOS 4º ANO'!$C$22</f>
        <v>1.05</v>
      </c>
      <c r="Q28" s="57">
        <f>(((Q23+Q24)/P19)*(1.5))*P28</f>
        <v>14.12</v>
      </c>
      <c r="R28" s="60">
        <f>'DADOS BÁSICOS 4º ANO'!$C$22</f>
        <v>1.05</v>
      </c>
      <c r="S28" s="57">
        <f>(((S23+S24)/R19)*(1.5))*R28</f>
        <v>14.12</v>
      </c>
    </row>
    <row r="29" spans="1:19" s="55" customFormat="1" ht="12.75" customHeight="1">
      <c r="A29" s="332" t="s">
        <v>85</v>
      </c>
      <c r="B29" s="332"/>
      <c r="C29" s="332"/>
      <c r="D29" s="332"/>
      <c r="E29" s="333"/>
      <c r="F29" s="333"/>
      <c r="G29" s="333"/>
      <c r="H29" s="61"/>
      <c r="I29" s="62">
        <f>SUM(I23:I28)</f>
        <v>1806.53</v>
      </c>
      <c r="J29" s="61"/>
      <c r="K29" s="62">
        <f>SUM(K23:K28)</f>
        <v>1806.53</v>
      </c>
      <c r="L29" s="61"/>
      <c r="M29" s="62">
        <f>SUM(M23:M28)</f>
        <v>1806.53</v>
      </c>
      <c r="N29" s="61"/>
      <c r="O29" s="62">
        <f>SUM(O23:O28)</f>
        <v>1806.53</v>
      </c>
      <c r="P29" s="61"/>
      <c r="Q29" s="62">
        <f>SUM(Q23:Q28)</f>
        <v>1806.53</v>
      </c>
      <c r="R29" s="61"/>
      <c r="S29" s="62">
        <f>SUM(S23:S28)</f>
        <v>1806.53</v>
      </c>
    </row>
    <row r="30" spans="1:19">
      <c r="A30" s="37" t="s">
        <v>86</v>
      </c>
      <c r="B30" s="63"/>
      <c r="C30" s="63"/>
      <c r="D30" s="63"/>
      <c r="E30" s="63"/>
      <c r="F30" s="63"/>
      <c r="G30" s="63"/>
      <c r="H30" s="64"/>
      <c r="I30" s="65"/>
      <c r="J30" s="64"/>
      <c r="K30" s="65"/>
      <c r="L30" s="64"/>
      <c r="M30" s="65"/>
      <c r="N30" s="64"/>
      <c r="O30" s="65"/>
      <c r="P30" s="64"/>
      <c r="Q30" s="65"/>
      <c r="R30" s="64"/>
      <c r="S30" s="65"/>
    </row>
    <row r="31" spans="1:19" ht="18" customHeight="1">
      <c r="A31" s="66" t="s">
        <v>87</v>
      </c>
      <c r="B31" s="334" t="s">
        <v>88</v>
      </c>
      <c r="C31" s="334"/>
      <c r="D31" s="334"/>
      <c r="E31" s="334"/>
      <c r="F31" s="334"/>
      <c r="G31" s="334"/>
      <c r="H31" s="67" t="s">
        <v>89</v>
      </c>
      <c r="I31" s="68" t="s">
        <v>79</v>
      </c>
      <c r="J31" s="67" t="s">
        <v>89</v>
      </c>
      <c r="K31" s="68" t="s">
        <v>79</v>
      </c>
      <c r="L31" s="67" t="s">
        <v>89</v>
      </c>
      <c r="M31" s="68" t="s">
        <v>79</v>
      </c>
      <c r="N31" s="67" t="s">
        <v>89</v>
      </c>
      <c r="O31" s="68" t="s">
        <v>79</v>
      </c>
      <c r="P31" s="67" t="s">
        <v>89</v>
      </c>
      <c r="Q31" s="68" t="s">
        <v>79</v>
      </c>
      <c r="R31" s="67" t="s">
        <v>89</v>
      </c>
      <c r="S31" s="68" t="s">
        <v>79</v>
      </c>
    </row>
    <row r="32" spans="1:19" ht="16.5" customHeight="1">
      <c r="A32" s="69" t="s">
        <v>58</v>
      </c>
      <c r="B32" s="286" t="s">
        <v>90</v>
      </c>
      <c r="C32" s="286"/>
      <c r="D32" s="286"/>
      <c r="E32" s="286"/>
      <c r="F32" s="286"/>
      <c r="G32" s="286"/>
      <c r="H32" s="70">
        <f>1/12</f>
        <v>8.3299999999999999E-2</v>
      </c>
      <c r="I32" s="71">
        <f>I$29*H$32</f>
        <v>150.47999999999999</v>
      </c>
      <c r="J32" s="70">
        <f t="shared" ref="J32" si="0">1/12</f>
        <v>8.3299999999999999E-2</v>
      </c>
      <c r="K32" s="71">
        <f t="shared" ref="K32" si="1">K$29*J$32</f>
        <v>150.47999999999999</v>
      </c>
      <c r="L32" s="70">
        <f t="shared" ref="L32" si="2">1/12</f>
        <v>8.3299999999999999E-2</v>
      </c>
      <c r="M32" s="71">
        <f t="shared" ref="M32" si="3">M$29*L$32</f>
        <v>150.47999999999999</v>
      </c>
      <c r="N32" s="70">
        <f t="shared" ref="N32" si="4">1/12</f>
        <v>8.3299999999999999E-2</v>
      </c>
      <c r="O32" s="71">
        <f t="shared" ref="O32" si="5">O$29*N$32</f>
        <v>150.47999999999999</v>
      </c>
      <c r="P32" s="70">
        <f t="shared" ref="P32" si="6">1/12</f>
        <v>8.3299999999999999E-2</v>
      </c>
      <c r="Q32" s="71">
        <f t="shared" ref="Q32" si="7">Q$29*P$32</f>
        <v>150.47999999999999</v>
      </c>
      <c r="R32" s="70">
        <f t="shared" ref="R32" si="8">1/12</f>
        <v>8.3299999999999999E-2</v>
      </c>
      <c r="S32" s="71">
        <f t="shared" ref="S32" si="9">S$29*R$32</f>
        <v>150.47999999999999</v>
      </c>
    </row>
    <row r="33" spans="1:20" ht="16.5" customHeight="1">
      <c r="A33" s="69" t="s">
        <v>60</v>
      </c>
      <c r="B33" s="286" t="s">
        <v>91</v>
      </c>
      <c r="C33" s="286"/>
      <c r="D33" s="286"/>
      <c r="E33" s="286"/>
      <c r="F33" s="286"/>
      <c r="G33" s="286"/>
      <c r="H33" s="70">
        <f>SUM(H34:H39)</f>
        <v>0.13639999999999999</v>
      </c>
      <c r="I33" s="71">
        <f>SUM(I34:I39)</f>
        <v>246.41</v>
      </c>
      <c r="J33" s="70">
        <f t="shared" ref="J33:S33" si="10">SUM(J34:J39)</f>
        <v>0.13639999999999999</v>
      </c>
      <c r="K33" s="71">
        <f t="shared" si="10"/>
        <v>246.41</v>
      </c>
      <c r="L33" s="70">
        <f t="shared" si="10"/>
        <v>0.13639999999999999</v>
      </c>
      <c r="M33" s="71">
        <f t="shared" si="10"/>
        <v>246.41</v>
      </c>
      <c r="N33" s="70">
        <f t="shared" si="10"/>
        <v>0.13639999999999999</v>
      </c>
      <c r="O33" s="71">
        <f t="shared" si="10"/>
        <v>246.41</v>
      </c>
      <c r="P33" s="70">
        <f t="shared" si="10"/>
        <v>0.13639999999999999</v>
      </c>
      <c r="Q33" s="71">
        <f t="shared" si="10"/>
        <v>246.41</v>
      </c>
      <c r="R33" s="70">
        <f t="shared" si="10"/>
        <v>0.13639999999999999</v>
      </c>
      <c r="S33" s="71">
        <f t="shared" si="10"/>
        <v>246.41</v>
      </c>
    </row>
    <row r="34" spans="1:20" ht="16.5" customHeight="1">
      <c r="A34" s="69"/>
      <c r="B34" s="69" t="s">
        <v>183</v>
      </c>
      <c r="C34" s="302" t="s">
        <v>188</v>
      </c>
      <c r="D34" s="303"/>
      <c r="E34" s="303"/>
      <c r="F34" s="303"/>
      <c r="G34" s="284"/>
      <c r="H34" s="70">
        <f>(1/3)/12</f>
        <v>2.7799999999999998E-2</v>
      </c>
      <c r="I34" s="71">
        <f t="shared" ref="I34:I39" si="11">I$29*H34</f>
        <v>50.22</v>
      </c>
      <c r="J34" s="70">
        <f t="shared" ref="J34" si="12">(1/3)/12</f>
        <v>2.7799999999999998E-2</v>
      </c>
      <c r="K34" s="71">
        <f t="shared" ref="K34:K39" si="13">K$29*J34</f>
        <v>50.22</v>
      </c>
      <c r="L34" s="70">
        <f t="shared" ref="L34" si="14">(1/3)/12</f>
        <v>2.7799999999999998E-2</v>
      </c>
      <c r="M34" s="71">
        <f t="shared" ref="M34:M39" si="15">M$29*L34</f>
        <v>50.22</v>
      </c>
      <c r="N34" s="70">
        <f t="shared" ref="N34" si="16">(1/3)/12</f>
        <v>2.7799999999999998E-2</v>
      </c>
      <c r="O34" s="71">
        <f t="shared" ref="O34:O39" si="17">O$29*N34</f>
        <v>50.22</v>
      </c>
      <c r="P34" s="70">
        <f t="shared" ref="P34" si="18">(1/3)/12</f>
        <v>2.7799999999999998E-2</v>
      </c>
      <c r="Q34" s="71">
        <f t="shared" ref="Q34:Q39" si="19">Q$29*P34</f>
        <v>50.22</v>
      </c>
      <c r="R34" s="70">
        <f t="shared" ref="R34" si="20">(1/3)/12</f>
        <v>2.7799999999999998E-2</v>
      </c>
      <c r="S34" s="71">
        <f t="shared" ref="S34:S39" si="21">S$29*R34</f>
        <v>50.22</v>
      </c>
    </row>
    <row r="35" spans="1:20" ht="16.5" customHeight="1">
      <c r="A35" s="72"/>
      <c r="B35" s="72" t="s">
        <v>184</v>
      </c>
      <c r="C35" s="320" t="s">
        <v>205</v>
      </c>
      <c r="D35" s="321"/>
      <c r="E35" s="321"/>
      <c r="F35" s="321"/>
      <c r="G35" s="322"/>
      <c r="H35" s="73">
        <f>1/12</f>
        <v>8.3299999999999999E-2</v>
      </c>
      <c r="I35" s="246">
        <f t="shared" si="11"/>
        <v>150.47999999999999</v>
      </c>
      <c r="J35" s="73">
        <f t="shared" ref="J35" si="22">1/12</f>
        <v>8.3299999999999999E-2</v>
      </c>
      <c r="K35" s="246">
        <f t="shared" si="13"/>
        <v>150.47999999999999</v>
      </c>
      <c r="L35" s="73">
        <f t="shared" ref="L35" si="23">1/12</f>
        <v>8.3299999999999999E-2</v>
      </c>
      <c r="M35" s="246">
        <f t="shared" si="15"/>
        <v>150.47999999999999</v>
      </c>
      <c r="N35" s="73">
        <f t="shared" ref="N35" si="24">1/12</f>
        <v>8.3299999999999999E-2</v>
      </c>
      <c r="O35" s="246">
        <f t="shared" si="17"/>
        <v>150.47999999999999</v>
      </c>
      <c r="P35" s="73">
        <f t="shared" ref="P35" si="25">1/12</f>
        <v>8.3299999999999999E-2</v>
      </c>
      <c r="Q35" s="246">
        <f t="shared" si="19"/>
        <v>150.47999999999999</v>
      </c>
      <c r="R35" s="73">
        <f t="shared" ref="R35" si="26">1/12</f>
        <v>8.3299999999999999E-2</v>
      </c>
      <c r="S35" s="246">
        <f t="shared" si="21"/>
        <v>150.47999999999999</v>
      </c>
    </row>
    <row r="36" spans="1:20" ht="16.5" customHeight="1">
      <c r="A36" s="72"/>
      <c r="B36" s="72" t="s">
        <v>266</v>
      </c>
      <c r="C36" s="320" t="s">
        <v>267</v>
      </c>
      <c r="D36" s="321"/>
      <c r="E36" s="321"/>
      <c r="F36" s="321"/>
      <c r="G36" s="322"/>
      <c r="H36" s="73">
        <f>(1/11)/12</f>
        <v>7.6E-3</v>
      </c>
      <c r="I36" s="74">
        <f t="shared" si="11"/>
        <v>13.73</v>
      </c>
      <c r="J36" s="73">
        <f t="shared" ref="J36" si="27">(1/11)/12</f>
        <v>7.6E-3</v>
      </c>
      <c r="K36" s="74">
        <f t="shared" si="13"/>
        <v>13.73</v>
      </c>
      <c r="L36" s="73">
        <f t="shared" ref="L36" si="28">(1/11)/12</f>
        <v>7.6E-3</v>
      </c>
      <c r="M36" s="74">
        <f t="shared" si="15"/>
        <v>13.73</v>
      </c>
      <c r="N36" s="73">
        <f t="shared" ref="N36" si="29">(1/11)/12</f>
        <v>7.6E-3</v>
      </c>
      <c r="O36" s="74">
        <f t="shared" si="17"/>
        <v>13.73</v>
      </c>
      <c r="P36" s="73">
        <f t="shared" ref="P36" si="30">(1/11)/12</f>
        <v>7.6E-3</v>
      </c>
      <c r="Q36" s="74">
        <f t="shared" si="19"/>
        <v>13.73</v>
      </c>
      <c r="R36" s="73">
        <f t="shared" ref="R36" si="31">(1/11)/12</f>
        <v>7.6E-3</v>
      </c>
      <c r="S36" s="74">
        <f t="shared" si="21"/>
        <v>13.73</v>
      </c>
    </row>
    <row r="37" spans="1:20" ht="16.5" customHeight="1">
      <c r="A37" s="76"/>
      <c r="B37" s="76" t="s">
        <v>185</v>
      </c>
      <c r="C37" s="323" t="s">
        <v>206</v>
      </c>
      <c r="D37" s="324"/>
      <c r="E37" s="324"/>
      <c r="F37" s="324"/>
      <c r="G37" s="325"/>
      <c r="H37" s="77">
        <f>((H11/11)/12)/H11</f>
        <v>7.6E-3</v>
      </c>
      <c r="I37" s="226">
        <f t="shared" si="11"/>
        <v>13.73</v>
      </c>
      <c r="J37" s="77">
        <f t="shared" ref="J37" si="32">((J11/11)/12)/J11</f>
        <v>7.6E-3</v>
      </c>
      <c r="K37" s="226">
        <f t="shared" si="13"/>
        <v>13.73</v>
      </c>
      <c r="L37" s="77">
        <f t="shared" ref="L37" si="33">((L11/11)/12)/L11</f>
        <v>7.6E-3</v>
      </c>
      <c r="M37" s="226">
        <f t="shared" si="15"/>
        <v>13.73</v>
      </c>
      <c r="N37" s="77">
        <f t="shared" ref="N37" si="34">((N11/11)/12)/N11</f>
        <v>7.6E-3</v>
      </c>
      <c r="O37" s="226">
        <f t="shared" si="17"/>
        <v>13.73</v>
      </c>
      <c r="P37" s="77">
        <f t="shared" ref="P37" si="35">((P11/11)/12)/P11</f>
        <v>7.6E-3</v>
      </c>
      <c r="Q37" s="226">
        <f t="shared" si="19"/>
        <v>13.73</v>
      </c>
      <c r="R37" s="77">
        <f t="shared" ref="R37" si="36">((R11/11)/12)/R11</f>
        <v>7.6E-3</v>
      </c>
      <c r="S37" s="226">
        <f t="shared" si="21"/>
        <v>13.73</v>
      </c>
      <c r="T37" s="164"/>
    </row>
    <row r="38" spans="1:20" ht="16.5" customHeight="1">
      <c r="A38" s="76"/>
      <c r="B38" s="76" t="s">
        <v>186</v>
      </c>
      <c r="C38" s="323" t="s">
        <v>207</v>
      </c>
      <c r="D38" s="324"/>
      <c r="E38" s="324"/>
      <c r="F38" s="324"/>
      <c r="G38" s="325"/>
      <c r="H38" s="77">
        <f>H37/3</f>
        <v>2.5000000000000001E-3</v>
      </c>
      <c r="I38" s="226">
        <f t="shared" si="11"/>
        <v>4.5199999999999996</v>
      </c>
      <c r="J38" s="77">
        <f t="shared" ref="J38" si="37">J37/3</f>
        <v>2.5000000000000001E-3</v>
      </c>
      <c r="K38" s="226">
        <f t="shared" si="13"/>
        <v>4.5199999999999996</v>
      </c>
      <c r="L38" s="77">
        <f t="shared" ref="L38" si="38">L37/3</f>
        <v>2.5000000000000001E-3</v>
      </c>
      <c r="M38" s="226">
        <f t="shared" si="15"/>
        <v>4.5199999999999996</v>
      </c>
      <c r="N38" s="77">
        <f t="shared" ref="N38" si="39">N37/3</f>
        <v>2.5000000000000001E-3</v>
      </c>
      <c r="O38" s="226">
        <f t="shared" si="17"/>
        <v>4.5199999999999996</v>
      </c>
      <c r="P38" s="77">
        <f t="shared" ref="P38" si="40">P37/3</f>
        <v>2.5000000000000001E-3</v>
      </c>
      <c r="Q38" s="226">
        <f t="shared" si="19"/>
        <v>4.5199999999999996</v>
      </c>
      <c r="R38" s="77">
        <f t="shared" ref="R38" si="41">R37/3</f>
        <v>2.5000000000000001E-3</v>
      </c>
      <c r="S38" s="226">
        <f t="shared" si="21"/>
        <v>4.5199999999999996</v>
      </c>
    </row>
    <row r="39" spans="1:20" ht="16.5" customHeight="1">
      <c r="A39" s="76"/>
      <c r="B39" s="76" t="s">
        <v>187</v>
      </c>
      <c r="C39" s="323" t="s">
        <v>208</v>
      </c>
      <c r="D39" s="324"/>
      <c r="E39" s="324"/>
      <c r="F39" s="324"/>
      <c r="G39" s="325"/>
      <c r="H39" s="77">
        <f>((H11/11)/12)/H11</f>
        <v>7.6E-3</v>
      </c>
      <c r="I39" s="226">
        <f t="shared" si="11"/>
        <v>13.73</v>
      </c>
      <c r="J39" s="77">
        <f t="shared" ref="J39" si="42">((J11/11)/12)/J11</f>
        <v>7.6E-3</v>
      </c>
      <c r="K39" s="226">
        <f t="shared" si="13"/>
        <v>13.73</v>
      </c>
      <c r="L39" s="77">
        <f t="shared" ref="L39" si="43">((L11/11)/12)/L11</f>
        <v>7.6E-3</v>
      </c>
      <c r="M39" s="226">
        <f t="shared" si="15"/>
        <v>13.73</v>
      </c>
      <c r="N39" s="77">
        <f t="shared" ref="N39" si="44">((N11/11)/12)/N11</f>
        <v>7.6E-3</v>
      </c>
      <c r="O39" s="226">
        <f t="shared" si="17"/>
        <v>13.73</v>
      </c>
      <c r="P39" s="77">
        <f t="shared" ref="P39" si="45">((P11/11)/12)/P11</f>
        <v>7.6E-3</v>
      </c>
      <c r="Q39" s="226">
        <f t="shared" si="19"/>
        <v>13.73</v>
      </c>
      <c r="R39" s="77">
        <f t="shared" ref="R39" si="46">((R11/11)/12)/R11</f>
        <v>7.6E-3</v>
      </c>
      <c r="S39" s="226">
        <f t="shared" si="21"/>
        <v>13.73</v>
      </c>
    </row>
    <row r="40" spans="1:20">
      <c r="A40" s="287" t="s">
        <v>85</v>
      </c>
      <c r="B40" s="287"/>
      <c r="C40" s="287"/>
      <c r="D40" s="287"/>
      <c r="E40" s="287"/>
      <c r="F40" s="287"/>
      <c r="G40" s="287"/>
      <c r="H40" s="79">
        <f>SUM(H32:H33)</f>
        <v>0.21970000000000001</v>
      </c>
      <c r="I40" s="80">
        <f>SUM(I32:I33)</f>
        <v>396.89</v>
      </c>
      <c r="J40" s="79">
        <f t="shared" ref="J40:S40" si="47">SUM(J32:J33)</f>
        <v>0.21970000000000001</v>
      </c>
      <c r="K40" s="80">
        <f t="shared" si="47"/>
        <v>396.89</v>
      </c>
      <c r="L40" s="79">
        <f t="shared" si="47"/>
        <v>0.21970000000000001</v>
      </c>
      <c r="M40" s="80">
        <f t="shared" si="47"/>
        <v>396.89</v>
      </c>
      <c r="N40" s="79">
        <f t="shared" si="47"/>
        <v>0.21970000000000001</v>
      </c>
      <c r="O40" s="80">
        <f t="shared" si="47"/>
        <v>396.89</v>
      </c>
      <c r="P40" s="79">
        <f t="shared" si="47"/>
        <v>0.21970000000000001</v>
      </c>
      <c r="Q40" s="80">
        <f t="shared" si="47"/>
        <v>396.89</v>
      </c>
      <c r="R40" s="79">
        <f t="shared" si="47"/>
        <v>0.21970000000000001</v>
      </c>
      <c r="S40" s="80">
        <f t="shared" si="47"/>
        <v>396.89</v>
      </c>
    </row>
    <row r="41" spans="1:20">
      <c r="A41" s="304" t="s">
        <v>92</v>
      </c>
      <c r="B41" s="304"/>
      <c r="C41" s="304"/>
      <c r="D41" s="304"/>
      <c r="E41" s="304"/>
      <c r="F41" s="304"/>
      <c r="G41" s="304"/>
      <c r="H41" s="81" t="s">
        <v>93</v>
      </c>
      <c r="I41" s="82">
        <f>I29</f>
        <v>1806.53</v>
      </c>
      <c r="J41" s="81" t="s">
        <v>94</v>
      </c>
      <c r="K41" s="82">
        <f>K29</f>
        <v>1806.53</v>
      </c>
      <c r="L41" s="81" t="s">
        <v>95</v>
      </c>
      <c r="M41" s="82">
        <f>M29</f>
        <v>1806.53</v>
      </c>
      <c r="N41" s="81" t="s">
        <v>96</v>
      </c>
      <c r="O41" s="82">
        <f>O29</f>
        <v>1806.53</v>
      </c>
      <c r="P41" s="81" t="s">
        <v>97</v>
      </c>
      <c r="Q41" s="82">
        <f>Q29</f>
        <v>1806.53</v>
      </c>
      <c r="R41" s="81" t="s">
        <v>98</v>
      </c>
      <c r="S41" s="82">
        <f>S29</f>
        <v>1806.53</v>
      </c>
    </row>
    <row r="42" spans="1:20">
      <c r="A42" s="304"/>
      <c r="B42" s="304"/>
      <c r="C42" s="304"/>
      <c r="D42" s="304"/>
      <c r="E42" s="304"/>
      <c r="F42" s="304"/>
      <c r="G42" s="304"/>
      <c r="H42" s="81" t="s">
        <v>99</v>
      </c>
      <c r="I42" s="82">
        <f>I40</f>
        <v>396.89</v>
      </c>
      <c r="J42" s="81" t="s">
        <v>100</v>
      </c>
      <c r="K42" s="82">
        <f>K40</f>
        <v>396.89</v>
      </c>
      <c r="L42" s="81" t="s">
        <v>101</v>
      </c>
      <c r="M42" s="82">
        <f>M40</f>
        <v>396.89</v>
      </c>
      <c r="N42" s="81" t="s">
        <v>102</v>
      </c>
      <c r="O42" s="82">
        <f>O40</f>
        <v>396.89</v>
      </c>
      <c r="P42" s="81" t="s">
        <v>103</v>
      </c>
      <c r="Q42" s="82">
        <f>Q40</f>
        <v>396.89</v>
      </c>
      <c r="R42" s="81" t="s">
        <v>104</v>
      </c>
      <c r="S42" s="82">
        <f>S40</f>
        <v>396.89</v>
      </c>
    </row>
    <row r="43" spans="1:20">
      <c r="A43" s="304"/>
      <c r="B43" s="304"/>
      <c r="C43" s="304"/>
      <c r="D43" s="304"/>
      <c r="E43" s="304"/>
      <c r="F43" s="304"/>
      <c r="G43" s="304"/>
      <c r="H43" s="81" t="s">
        <v>85</v>
      </c>
      <c r="I43" s="82">
        <f>SUM(I41:I42)</f>
        <v>2203.42</v>
      </c>
      <c r="J43" s="81" t="s">
        <v>85</v>
      </c>
      <c r="K43" s="82">
        <f>SUM(K41:K42)</f>
        <v>2203.42</v>
      </c>
      <c r="L43" s="81" t="s">
        <v>85</v>
      </c>
      <c r="M43" s="82">
        <f>SUM(M41:M42)</f>
        <v>2203.42</v>
      </c>
      <c r="N43" s="81" t="s">
        <v>85</v>
      </c>
      <c r="O43" s="82">
        <f>SUM(O41:O42)</f>
        <v>2203.42</v>
      </c>
      <c r="P43" s="81" t="s">
        <v>85</v>
      </c>
      <c r="Q43" s="82">
        <f>SUM(Q41:Q42)</f>
        <v>2203.42</v>
      </c>
      <c r="R43" s="81" t="s">
        <v>85</v>
      </c>
      <c r="S43" s="82">
        <f>SUM(S41:S42)</f>
        <v>2203.42</v>
      </c>
    </row>
    <row r="44" spans="1:20" ht="33" customHeight="1">
      <c r="A44" s="37" t="s">
        <v>105</v>
      </c>
      <c r="B44" s="63"/>
      <c r="C44" s="63"/>
      <c r="D44" s="63"/>
      <c r="E44" s="63"/>
      <c r="F44" s="63"/>
      <c r="G44" s="63"/>
      <c r="H44" s="64"/>
      <c r="I44" s="65"/>
      <c r="J44" s="64"/>
      <c r="K44" s="65"/>
      <c r="L44" s="64"/>
      <c r="M44" s="65"/>
      <c r="N44" s="64"/>
      <c r="O44" s="65"/>
      <c r="P44" s="64"/>
      <c r="Q44" s="65"/>
      <c r="R44" s="64"/>
      <c r="S44" s="65"/>
    </row>
    <row r="45" spans="1:20" ht="19.5" customHeight="1">
      <c r="A45" s="83" t="s">
        <v>106</v>
      </c>
      <c r="B45" s="288" t="s">
        <v>107</v>
      </c>
      <c r="C45" s="288"/>
      <c r="D45" s="288"/>
      <c r="E45" s="288"/>
      <c r="F45" s="288"/>
      <c r="G45" s="288"/>
      <c r="H45" s="67" t="s">
        <v>89</v>
      </c>
      <c r="I45" s="84" t="s">
        <v>79</v>
      </c>
      <c r="J45" s="67" t="s">
        <v>89</v>
      </c>
      <c r="K45" s="84" t="s">
        <v>79</v>
      </c>
      <c r="L45" s="67" t="s">
        <v>89</v>
      </c>
      <c r="M45" s="84" t="s">
        <v>79</v>
      </c>
      <c r="N45" s="67" t="s">
        <v>89</v>
      </c>
      <c r="O45" s="84" t="s">
        <v>79</v>
      </c>
      <c r="P45" s="67" t="s">
        <v>89</v>
      </c>
      <c r="Q45" s="84" t="s">
        <v>79</v>
      </c>
      <c r="R45" s="67" t="s">
        <v>89</v>
      </c>
      <c r="S45" s="84" t="s">
        <v>79</v>
      </c>
    </row>
    <row r="46" spans="1:20" ht="12.75" customHeight="1">
      <c r="A46" s="85" t="s">
        <v>58</v>
      </c>
      <c r="B46" s="286" t="s">
        <v>32</v>
      </c>
      <c r="C46" s="286"/>
      <c r="D46" s="286"/>
      <c r="E46" s="286"/>
      <c r="F46" s="286"/>
      <c r="G46" s="286"/>
      <c r="H46" s="50">
        <f>IF('DADOS BÁSICOS 4º ANO'!$B$25="LUCRO PRESUMIDO",'DADOS BÁSICOS 4º ANO'!$B$29,'DADOS BÁSICOS 4º ANO'!$C$29)</f>
        <v>0.2</v>
      </c>
      <c r="I46" s="71">
        <f>I43*H46</f>
        <v>440.68</v>
      </c>
      <c r="J46" s="50">
        <f>IF('DADOS BÁSICOS 4º ANO'!$B$25="LUCRO PRESUMIDO",'DADOS BÁSICOS 4º ANO'!$B$29,'DADOS BÁSICOS 4º ANO'!$C$29)</f>
        <v>0.2</v>
      </c>
      <c r="K46" s="71">
        <f>K43*J46</f>
        <v>440.68</v>
      </c>
      <c r="L46" s="50">
        <f>IF('DADOS BÁSICOS 4º ANO'!$B$25="LUCRO PRESUMIDO",'DADOS BÁSICOS 4º ANO'!$B$29,'DADOS BÁSICOS 4º ANO'!$C$29)</f>
        <v>0.2</v>
      </c>
      <c r="M46" s="71">
        <f>M43*L46</f>
        <v>440.68</v>
      </c>
      <c r="N46" s="50">
        <f>IF('DADOS BÁSICOS 4º ANO'!$B$25="LUCRO PRESUMIDO",'DADOS BÁSICOS 4º ANO'!$B$29,'DADOS BÁSICOS 4º ANO'!$C$29)</f>
        <v>0.2</v>
      </c>
      <c r="O46" s="71">
        <f>O43*N46</f>
        <v>440.68</v>
      </c>
      <c r="P46" s="50">
        <f>IF('DADOS BÁSICOS 4º ANO'!$B$25="LUCRO PRESUMIDO",'DADOS BÁSICOS 4º ANO'!$B$29,'DADOS BÁSICOS 4º ANO'!$C$29)</f>
        <v>0.2</v>
      </c>
      <c r="Q46" s="71">
        <f>Q43*P46</f>
        <v>440.68</v>
      </c>
      <c r="R46" s="50">
        <f>IF('DADOS BÁSICOS 4º ANO'!$B$25="LUCRO PRESUMIDO",'DADOS BÁSICOS 4º ANO'!$B$29,'DADOS BÁSICOS 4º ANO'!$C$29)</f>
        <v>0.2</v>
      </c>
      <c r="S46" s="71">
        <f>S43*R46</f>
        <v>440.68</v>
      </c>
    </row>
    <row r="47" spans="1:20" ht="12.75" customHeight="1">
      <c r="A47" s="85" t="s">
        <v>60</v>
      </c>
      <c r="B47" s="286" t="s">
        <v>108</v>
      </c>
      <c r="C47" s="286"/>
      <c r="D47" s="286"/>
      <c r="E47" s="286"/>
      <c r="F47" s="286"/>
      <c r="G47" s="286"/>
      <c r="H47" s="50">
        <f>IF('DADOS BÁSICOS 4º ANO'!$B$25="LUCRO PRESUMIDO",'DADOS BÁSICOS 4º ANO'!$B$30,'DADOS BÁSICOS 4º ANO'!$C$30)</f>
        <v>2.5000000000000001E-2</v>
      </c>
      <c r="I47" s="71">
        <f>I43*H47</f>
        <v>55.09</v>
      </c>
      <c r="J47" s="50">
        <f>IF('DADOS BÁSICOS 4º ANO'!$B$25="LUCRO PRESUMIDO",'DADOS BÁSICOS 4º ANO'!$B$30,'DADOS BÁSICOS 4º ANO'!$C$30)</f>
        <v>2.5000000000000001E-2</v>
      </c>
      <c r="K47" s="71">
        <f>K43*J47</f>
        <v>55.09</v>
      </c>
      <c r="L47" s="50">
        <f>IF('DADOS BÁSICOS 4º ANO'!$B$25="LUCRO PRESUMIDO",'DADOS BÁSICOS 4º ANO'!$B$30,'DADOS BÁSICOS 4º ANO'!$C$30)</f>
        <v>2.5000000000000001E-2</v>
      </c>
      <c r="M47" s="71">
        <f>M43*L47</f>
        <v>55.09</v>
      </c>
      <c r="N47" s="50">
        <f>IF('DADOS BÁSICOS 4º ANO'!$B$25="LUCRO PRESUMIDO",'DADOS BÁSICOS 4º ANO'!$B$30,'DADOS BÁSICOS 4º ANO'!$C$30)</f>
        <v>2.5000000000000001E-2</v>
      </c>
      <c r="O47" s="71">
        <f>O43*N47</f>
        <v>55.09</v>
      </c>
      <c r="P47" s="50">
        <f>IF('DADOS BÁSICOS 4º ANO'!$B$25="LUCRO PRESUMIDO",'DADOS BÁSICOS 4º ANO'!$B$30,'DADOS BÁSICOS 4º ANO'!$C$30)</f>
        <v>2.5000000000000001E-2</v>
      </c>
      <c r="Q47" s="71">
        <f>Q43*P47</f>
        <v>55.09</v>
      </c>
      <c r="R47" s="50">
        <f>IF('DADOS BÁSICOS 4º ANO'!$B$25="LUCRO PRESUMIDO",'DADOS BÁSICOS 4º ANO'!$B$30,'DADOS BÁSICOS 4º ANO'!$C$30)</f>
        <v>2.5000000000000001E-2</v>
      </c>
      <c r="S47" s="71">
        <f>S43*R47</f>
        <v>55.09</v>
      </c>
    </row>
    <row r="48" spans="1:20" ht="17.25" customHeight="1">
      <c r="A48" s="85" t="s">
        <v>62</v>
      </c>
      <c r="B48" s="286" t="s">
        <v>109</v>
      </c>
      <c r="C48" s="286"/>
      <c r="D48" s="286"/>
      <c r="E48" s="286"/>
      <c r="F48" s="286"/>
      <c r="G48" s="286"/>
      <c r="H48" s="50">
        <f>IF('DADOS BÁSICOS 4º ANO'!$B$25="LUCRO PRESUMIDO",'DADOS BÁSICOS 4º ANO'!$B$31,'DADOS BÁSICOS 4º ANO'!$C$31)</f>
        <v>0.03</v>
      </c>
      <c r="I48" s="71">
        <f>I43*H48</f>
        <v>66.099999999999994</v>
      </c>
      <c r="J48" s="50">
        <f>IF('DADOS BÁSICOS 4º ANO'!$B$25="LUCRO PRESUMIDO",'DADOS BÁSICOS 4º ANO'!$B$31,'DADOS BÁSICOS 4º ANO'!$C$31)</f>
        <v>0.03</v>
      </c>
      <c r="K48" s="71">
        <f>K43*J48</f>
        <v>66.099999999999994</v>
      </c>
      <c r="L48" s="50">
        <f>IF('DADOS BÁSICOS 4º ANO'!$B$25="LUCRO PRESUMIDO",'DADOS BÁSICOS 4º ANO'!$B$31,'DADOS BÁSICOS 4º ANO'!$C$31)</f>
        <v>0.03</v>
      </c>
      <c r="M48" s="71">
        <f>M43*L48</f>
        <v>66.099999999999994</v>
      </c>
      <c r="N48" s="50">
        <f>IF('DADOS BÁSICOS 4º ANO'!$B$25="LUCRO PRESUMIDO",'DADOS BÁSICOS 4º ANO'!$B$31,'DADOS BÁSICOS 4º ANO'!$C$31)</f>
        <v>0.03</v>
      </c>
      <c r="O48" s="71">
        <f>O43*N48</f>
        <v>66.099999999999994</v>
      </c>
      <c r="P48" s="50">
        <f>IF('DADOS BÁSICOS 4º ANO'!$B$25="LUCRO PRESUMIDO",'DADOS BÁSICOS 4º ANO'!$B$31,'DADOS BÁSICOS 4º ANO'!$C$31)</f>
        <v>0.03</v>
      </c>
      <c r="Q48" s="71">
        <f>Q43*P48</f>
        <v>66.099999999999994</v>
      </c>
      <c r="R48" s="50">
        <f>IF('DADOS BÁSICOS 4º ANO'!$B$25="LUCRO PRESUMIDO",'DADOS BÁSICOS 4º ANO'!$B$31,'DADOS BÁSICOS 4º ANO'!$C$31)</f>
        <v>0.03</v>
      </c>
      <c r="S48" s="71">
        <f>S43*R48</f>
        <v>66.099999999999994</v>
      </c>
    </row>
    <row r="49" spans="1:20" ht="12.75" customHeight="1">
      <c r="A49" s="85" t="s">
        <v>64</v>
      </c>
      <c r="B49" s="286" t="s">
        <v>35</v>
      </c>
      <c r="C49" s="286"/>
      <c r="D49" s="286"/>
      <c r="E49" s="286"/>
      <c r="F49" s="286"/>
      <c r="G49" s="286"/>
      <c r="H49" s="50">
        <f>IF('DADOS BÁSICOS 4º ANO'!$B$25="LUCRO PRESUMIDO",'DADOS BÁSICOS 4º ANO'!$B$32,'DADOS BÁSICOS 4º ANO'!$C$32)</f>
        <v>1.4999999999999999E-2</v>
      </c>
      <c r="I49" s="71">
        <f>I43*H49</f>
        <v>33.049999999999997</v>
      </c>
      <c r="J49" s="50">
        <f>IF('DADOS BÁSICOS 4º ANO'!$B$25="LUCRO PRESUMIDO",'DADOS BÁSICOS 4º ANO'!$B$32,'DADOS BÁSICOS 4º ANO'!$C$32)</f>
        <v>1.4999999999999999E-2</v>
      </c>
      <c r="K49" s="71">
        <f>K43*J49</f>
        <v>33.049999999999997</v>
      </c>
      <c r="L49" s="50">
        <f>IF('DADOS BÁSICOS 4º ANO'!$B$25="LUCRO PRESUMIDO",'DADOS BÁSICOS 4º ANO'!$B$32,'DADOS BÁSICOS 4º ANO'!$C$32)</f>
        <v>1.4999999999999999E-2</v>
      </c>
      <c r="M49" s="71">
        <f>M43*L49</f>
        <v>33.049999999999997</v>
      </c>
      <c r="N49" s="50">
        <f>IF('DADOS BÁSICOS 4º ANO'!$B$25="LUCRO PRESUMIDO",'DADOS BÁSICOS 4º ANO'!$B$32,'DADOS BÁSICOS 4º ANO'!$C$32)</f>
        <v>1.4999999999999999E-2</v>
      </c>
      <c r="O49" s="71">
        <f>O43*N49</f>
        <v>33.049999999999997</v>
      </c>
      <c r="P49" s="50">
        <f>IF('DADOS BÁSICOS 4º ANO'!$B$25="LUCRO PRESUMIDO",'DADOS BÁSICOS 4º ANO'!$B$32,'DADOS BÁSICOS 4º ANO'!$C$32)</f>
        <v>1.4999999999999999E-2</v>
      </c>
      <c r="Q49" s="71">
        <f>Q43*P49</f>
        <v>33.049999999999997</v>
      </c>
      <c r="R49" s="50">
        <f>IF('DADOS BÁSICOS 4º ANO'!$B$25="LUCRO PRESUMIDO",'DADOS BÁSICOS 4º ANO'!$B$32,'DADOS BÁSICOS 4º ANO'!$C$32)</f>
        <v>1.4999999999999999E-2</v>
      </c>
      <c r="S49" s="71">
        <f>S43*R49</f>
        <v>33.049999999999997</v>
      </c>
    </row>
    <row r="50" spans="1:20" ht="12.75" customHeight="1">
      <c r="A50" s="85" t="s">
        <v>66</v>
      </c>
      <c r="B50" s="286" t="s">
        <v>36</v>
      </c>
      <c r="C50" s="286"/>
      <c r="D50" s="286"/>
      <c r="E50" s="286"/>
      <c r="F50" s="286"/>
      <c r="G50" s="286"/>
      <c r="H50" s="50">
        <f>IF('DADOS BÁSICOS 4º ANO'!$B$25="LUCRO PRESUMIDO",'DADOS BÁSICOS 4º ANO'!$B$33,'DADOS BÁSICOS 4º ANO'!$C$33)</f>
        <v>0.01</v>
      </c>
      <c r="I50" s="71">
        <f>I43*H50</f>
        <v>22.03</v>
      </c>
      <c r="J50" s="50">
        <f>IF('DADOS BÁSICOS 4º ANO'!$B$25="LUCRO PRESUMIDO",'DADOS BÁSICOS 4º ANO'!$B$33,'DADOS BÁSICOS 4º ANO'!$C$33)</f>
        <v>0.01</v>
      </c>
      <c r="K50" s="71">
        <f>K43*J50</f>
        <v>22.03</v>
      </c>
      <c r="L50" s="50">
        <f>IF('DADOS BÁSICOS 4º ANO'!$B$25="LUCRO PRESUMIDO",'DADOS BÁSICOS 4º ANO'!$B$33,'DADOS BÁSICOS 4º ANO'!$C$33)</f>
        <v>0.01</v>
      </c>
      <c r="M50" s="71">
        <f>M43*L50</f>
        <v>22.03</v>
      </c>
      <c r="N50" s="50">
        <f>IF('DADOS BÁSICOS 4º ANO'!$B$25="LUCRO PRESUMIDO",'DADOS BÁSICOS 4º ANO'!$B$33,'DADOS BÁSICOS 4º ANO'!$C$33)</f>
        <v>0.01</v>
      </c>
      <c r="O50" s="71">
        <f>O43*N50</f>
        <v>22.03</v>
      </c>
      <c r="P50" s="50">
        <f>IF('DADOS BÁSICOS 4º ANO'!$B$25="LUCRO PRESUMIDO",'DADOS BÁSICOS 4º ANO'!$B$33,'DADOS BÁSICOS 4º ANO'!$C$33)</f>
        <v>0.01</v>
      </c>
      <c r="Q50" s="71">
        <f>Q43*P50</f>
        <v>22.03</v>
      </c>
      <c r="R50" s="50">
        <f>IF('DADOS BÁSICOS 4º ANO'!$B$25="LUCRO PRESUMIDO",'DADOS BÁSICOS 4º ANO'!$B$33,'DADOS BÁSICOS 4º ANO'!$C$33)</f>
        <v>0.01</v>
      </c>
      <c r="S50" s="71">
        <f>S43*R50</f>
        <v>22.03</v>
      </c>
    </row>
    <row r="51" spans="1:20" ht="12.75" customHeight="1">
      <c r="A51" s="85" t="s">
        <v>84</v>
      </c>
      <c r="B51" s="286" t="s">
        <v>37</v>
      </c>
      <c r="C51" s="286"/>
      <c r="D51" s="286"/>
      <c r="E51" s="286"/>
      <c r="F51" s="286"/>
      <c r="G51" s="286"/>
      <c r="H51" s="50">
        <f>IF('DADOS BÁSICOS 4º ANO'!$B$25="LUCRO PRESUMIDO",'DADOS BÁSICOS 4º ANO'!$B$34,'DADOS BÁSICOS 4º ANO'!$C$34)</f>
        <v>6.0000000000000001E-3</v>
      </c>
      <c r="I51" s="71">
        <f>I43*H51</f>
        <v>13.22</v>
      </c>
      <c r="J51" s="50">
        <f>IF('DADOS BÁSICOS 4º ANO'!$B$25="LUCRO PRESUMIDO",'DADOS BÁSICOS 4º ANO'!$B$34,'DADOS BÁSICOS 4º ANO'!$C$34)</f>
        <v>6.0000000000000001E-3</v>
      </c>
      <c r="K51" s="71">
        <f>K43*J51</f>
        <v>13.22</v>
      </c>
      <c r="L51" s="50">
        <f>IF('DADOS BÁSICOS 4º ANO'!$B$25="LUCRO PRESUMIDO",'DADOS BÁSICOS 4º ANO'!$B$34,'DADOS BÁSICOS 4º ANO'!$C$34)</f>
        <v>6.0000000000000001E-3</v>
      </c>
      <c r="M51" s="71">
        <f>M43*L51</f>
        <v>13.22</v>
      </c>
      <c r="N51" s="50">
        <f>IF('DADOS BÁSICOS 4º ANO'!$B$25="LUCRO PRESUMIDO",'DADOS BÁSICOS 4º ANO'!$B$34,'DADOS BÁSICOS 4º ANO'!$C$34)</f>
        <v>6.0000000000000001E-3</v>
      </c>
      <c r="O51" s="71">
        <f>O43*N51</f>
        <v>13.22</v>
      </c>
      <c r="P51" s="50">
        <f>IF('DADOS BÁSICOS 4º ANO'!$B$25="LUCRO PRESUMIDO",'DADOS BÁSICOS 4º ANO'!$B$34,'DADOS BÁSICOS 4º ANO'!$C$34)</f>
        <v>6.0000000000000001E-3</v>
      </c>
      <c r="Q51" s="71">
        <f>Q43*P51</f>
        <v>13.22</v>
      </c>
      <c r="R51" s="50">
        <f>IF('DADOS BÁSICOS 4º ANO'!$B$25="LUCRO PRESUMIDO",'DADOS BÁSICOS 4º ANO'!$B$34,'DADOS BÁSICOS 4º ANO'!$C$34)</f>
        <v>6.0000000000000001E-3</v>
      </c>
      <c r="S51" s="71">
        <f>S43*R51</f>
        <v>13.22</v>
      </c>
    </row>
    <row r="52" spans="1:20" ht="12.75" customHeight="1">
      <c r="A52" s="85" t="s">
        <v>110</v>
      </c>
      <c r="B52" s="286" t="s">
        <v>38</v>
      </c>
      <c r="C52" s="286"/>
      <c r="D52" s="286"/>
      <c r="E52" s="286"/>
      <c r="F52" s="286"/>
      <c r="G52" s="286"/>
      <c r="H52" s="50">
        <f>IF('DADOS BÁSICOS 4º ANO'!$B$25="LUCRO PRESUMIDO",'DADOS BÁSICOS 4º ANO'!$B$35,'DADOS BÁSICOS 4º ANO'!$C$35)</f>
        <v>2E-3</v>
      </c>
      <c r="I52" s="71">
        <f>I43*H52</f>
        <v>4.41</v>
      </c>
      <c r="J52" s="50">
        <f>IF('DADOS BÁSICOS 4º ANO'!$B$25="LUCRO PRESUMIDO",'DADOS BÁSICOS 4º ANO'!$B$35,'DADOS BÁSICOS 4º ANO'!$C$35)</f>
        <v>2E-3</v>
      </c>
      <c r="K52" s="71">
        <f>K43*J52</f>
        <v>4.41</v>
      </c>
      <c r="L52" s="50">
        <f>IF('DADOS BÁSICOS 4º ANO'!$B$25="LUCRO PRESUMIDO",'DADOS BÁSICOS 4º ANO'!$B$35,'DADOS BÁSICOS 4º ANO'!$C$35)</f>
        <v>2E-3</v>
      </c>
      <c r="M52" s="71">
        <f>M43*L52</f>
        <v>4.41</v>
      </c>
      <c r="N52" s="50">
        <f>IF('DADOS BÁSICOS 4º ANO'!$B$25="LUCRO PRESUMIDO",'DADOS BÁSICOS 4º ANO'!$B$35,'DADOS BÁSICOS 4º ANO'!$C$35)</f>
        <v>2E-3</v>
      </c>
      <c r="O52" s="71">
        <f>O43*N52</f>
        <v>4.41</v>
      </c>
      <c r="P52" s="50">
        <f>IF('DADOS BÁSICOS 4º ANO'!$B$25="LUCRO PRESUMIDO",'DADOS BÁSICOS 4º ANO'!$B$35,'DADOS BÁSICOS 4º ANO'!$C$35)</f>
        <v>2E-3</v>
      </c>
      <c r="Q52" s="71">
        <f>Q43*P52</f>
        <v>4.41</v>
      </c>
      <c r="R52" s="50">
        <f>IF('DADOS BÁSICOS 4º ANO'!$B$25="LUCRO PRESUMIDO",'DADOS BÁSICOS 4º ANO'!$B$35,'DADOS BÁSICOS 4º ANO'!$C$35)</f>
        <v>2E-3</v>
      </c>
      <c r="S52" s="71">
        <f>S43*R52</f>
        <v>4.41</v>
      </c>
    </row>
    <row r="53" spans="1:20" ht="12.75" customHeight="1">
      <c r="A53" s="86" t="s">
        <v>111</v>
      </c>
      <c r="B53" s="286" t="s">
        <v>39</v>
      </c>
      <c r="C53" s="286"/>
      <c r="D53" s="286"/>
      <c r="E53" s="286"/>
      <c r="F53" s="286"/>
      <c r="G53" s="286"/>
      <c r="H53" s="50">
        <f>IF('DADOS BÁSICOS 4º ANO'!$B$25="LUCRO PRESUMIDO",'DADOS BÁSICOS 4º ANO'!$B$36,'DADOS BÁSICOS 4º ANO'!$C$36)</f>
        <v>0.08</v>
      </c>
      <c r="I53" s="71">
        <f>I43*H53</f>
        <v>176.27</v>
      </c>
      <c r="J53" s="50">
        <f>IF('DADOS BÁSICOS 4º ANO'!$B$25="LUCRO PRESUMIDO",'DADOS BÁSICOS 4º ANO'!$B$36,'DADOS BÁSICOS 4º ANO'!$C$36)</f>
        <v>0.08</v>
      </c>
      <c r="K53" s="71">
        <f>K43*J53</f>
        <v>176.27</v>
      </c>
      <c r="L53" s="50">
        <f>IF('DADOS BÁSICOS 4º ANO'!$B$25="LUCRO PRESUMIDO",'DADOS BÁSICOS 4º ANO'!$B$36,'DADOS BÁSICOS 4º ANO'!$C$36)</f>
        <v>0.08</v>
      </c>
      <c r="M53" s="71">
        <f>M43*L53</f>
        <v>176.27</v>
      </c>
      <c r="N53" s="50">
        <f>IF('DADOS BÁSICOS 4º ANO'!$B$25="LUCRO PRESUMIDO",'DADOS BÁSICOS 4º ANO'!$B$36,'DADOS BÁSICOS 4º ANO'!$C$36)</f>
        <v>0.08</v>
      </c>
      <c r="O53" s="71">
        <f>O43*N53</f>
        <v>176.27</v>
      </c>
      <c r="P53" s="50">
        <f>IF('DADOS BÁSICOS 4º ANO'!$B$25="LUCRO PRESUMIDO",'DADOS BÁSICOS 4º ANO'!$B$36,'DADOS BÁSICOS 4º ANO'!$C$36)</f>
        <v>0.08</v>
      </c>
      <c r="Q53" s="71">
        <f>Q43*P53</f>
        <v>176.27</v>
      </c>
      <c r="R53" s="50">
        <f>IF('DADOS BÁSICOS 4º ANO'!$B$25="LUCRO PRESUMIDO",'DADOS BÁSICOS 4º ANO'!$B$36,'DADOS BÁSICOS 4º ANO'!$C$36)</f>
        <v>0.08</v>
      </c>
      <c r="S53" s="71">
        <f>S43*R53</f>
        <v>176.27</v>
      </c>
    </row>
    <row r="54" spans="1:20" ht="18.75" customHeight="1">
      <c r="A54" s="287" t="s">
        <v>85</v>
      </c>
      <c r="B54" s="287"/>
      <c r="C54" s="287"/>
      <c r="D54" s="287"/>
      <c r="E54" s="287"/>
      <c r="F54" s="287"/>
      <c r="G54" s="287"/>
      <c r="H54" s="87">
        <f>SUM(H46:H53)</f>
        <v>0.36799999999999999</v>
      </c>
      <c r="I54" s="80">
        <f t="shared" ref="I54:S54" si="48">SUM(I46:I53)</f>
        <v>810.85</v>
      </c>
      <c r="J54" s="87">
        <f t="shared" si="48"/>
        <v>0.36799999999999999</v>
      </c>
      <c r="K54" s="80">
        <f t="shared" si="48"/>
        <v>810.85</v>
      </c>
      <c r="L54" s="87">
        <f t="shared" si="48"/>
        <v>0.36799999999999999</v>
      </c>
      <c r="M54" s="80">
        <f t="shared" si="48"/>
        <v>810.85</v>
      </c>
      <c r="N54" s="87">
        <f t="shared" si="48"/>
        <v>0.36799999999999999</v>
      </c>
      <c r="O54" s="80">
        <f t="shared" si="48"/>
        <v>810.85</v>
      </c>
      <c r="P54" s="87">
        <f t="shared" si="48"/>
        <v>0.36799999999999999</v>
      </c>
      <c r="Q54" s="80">
        <f t="shared" si="48"/>
        <v>810.85</v>
      </c>
      <c r="R54" s="87">
        <f t="shared" si="48"/>
        <v>0.36799999999999999</v>
      </c>
      <c r="S54" s="80">
        <f t="shared" si="48"/>
        <v>810.85</v>
      </c>
    </row>
    <row r="55" spans="1:20" ht="33" customHeight="1">
      <c r="A55" s="88" t="s">
        <v>112</v>
      </c>
      <c r="B55" s="88"/>
      <c r="C55" s="88"/>
      <c r="D55" s="88"/>
      <c r="E55" s="88"/>
      <c r="F55" s="88"/>
      <c r="G55" s="88"/>
      <c r="H55" s="89"/>
      <c r="I55" s="90"/>
      <c r="J55" s="89"/>
      <c r="K55" s="90"/>
      <c r="L55" s="89"/>
      <c r="M55" s="90"/>
      <c r="N55" s="89"/>
      <c r="O55" s="90"/>
      <c r="P55" s="89"/>
      <c r="Q55" s="90"/>
      <c r="R55" s="89"/>
      <c r="S55" s="90"/>
    </row>
    <row r="56" spans="1:20" ht="17.25" customHeight="1">
      <c r="A56" s="83" t="s">
        <v>113</v>
      </c>
      <c r="B56" s="316" t="s">
        <v>114</v>
      </c>
      <c r="C56" s="316"/>
      <c r="D56" s="316"/>
      <c r="E56" s="316"/>
      <c r="F56" s="316"/>
      <c r="G56" s="316"/>
      <c r="H56" s="39"/>
      <c r="I56" s="91" t="s">
        <v>79</v>
      </c>
      <c r="J56" s="39"/>
      <c r="K56" s="91" t="s">
        <v>79</v>
      </c>
      <c r="L56" s="39"/>
      <c r="M56" s="91" t="s">
        <v>79</v>
      </c>
      <c r="N56" s="39"/>
      <c r="O56" s="91" t="s">
        <v>79</v>
      </c>
      <c r="P56" s="39"/>
      <c r="Q56" s="91" t="s">
        <v>79</v>
      </c>
      <c r="R56" s="39"/>
      <c r="S56" s="91" t="s">
        <v>79</v>
      </c>
    </row>
    <row r="57" spans="1:20">
      <c r="A57" s="69" t="s">
        <v>58</v>
      </c>
      <c r="B57" s="294" t="s">
        <v>115</v>
      </c>
      <c r="C57" s="294"/>
      <c r="D57" s="294"/>
      <c r="E57" s="294"/>
      <c r="F57" s="294"/>
      <c r="G57" s="294"/>
      <c r="H57" s="92"/>
      <c r="I57" s="317">
        <f>IF((H58*H59)-(I23*H60)&gt;0,((H58*H59)-(I23*H60)),0)</f>
        <v>115.27</v>
      </c>
      <c r="J57" s="92"/>
      <c r="K57" s="381">
        <f>IF((J58*J59)-(K23*J60)&gt;0,((J58*J59)-(K23*J60)),0)</f>
        <v>66.87</v>
      </c>
      <c r="L57" s="92"/>
      <c r="M57" s="381">
        <f>IF((L58*L59)-(M23*L60)&gt;0,((L58*L59)-(M23*L60)),0)</f>
        <v>104.27</v>
      </c>
      <c r="N57" s="92"/>
      <c r="O57" s="381">
        <f>IF((N58*N59)-(O23*N60)&gt;0,((N58*N59)-(O23*N60)),0)</f>
        <v>106.47</v>
      </c>
      <c r="P57" s="92"/>
      <c r="Q57" s="381">
        <f>IF((P58*P59)-(Q23*P60)&gt;0,((P58*P59)-(Q23*P60)),0)</f>
        <v>80.069999999999993</v>
      </c>
      <c r="R57" s="92"/>
      <c r="S57" s="381">
        <f>IF((R58*R59)-(S23*R60)&gt;0,((R58*R59)-(S23*R60)),0)</f>
        <v>106.47</v>
      </c>
    </row>
    <row r="58" spans="1:20" ht="24.75" customHeight="1">
      <c r="A58" s="69"/>
      <c r="B58" s="286" t="s">
        <v>116</v>
      </c>
      <c r="C58" s="286"/>
      <c r="D58" s="286"/>
      <c r="E58" s="286"/>
      <c r="F58" s="286"/>
      <c r="G58" s="286"/>
      <c r="H58" s="93">
        <f>'DADOS BÁSICOS 4º ANO'!P8</f>
        <v>4.5</v>
      </c>
      <c r="I58" s="318"/>
      <c r="J58" s="93">
        <f>'DADOS BÁSICOS 4º ANO'!P9</f>
        <v>3.4</v>
      </c>
      <c r="K58" s="381"/>
      <c r="L58" s="93">
        <f>'DADOS BÁSICOS 4º ANO'!P10</f>
        <v>4.25</v>
      </c>
      <c r="M58" s="381"/>
      <c r="N58" s="93">
        <f>'DADOS BÁSICOS 4º ANO'!P11</f>
        <v>4.3</v>
      </c>
      <c r="O58" s="381"/>
      <c r="P58" s="93">
        <f>'DADOS BÁSICOS 4º ANO'!P12</f>
        <v>3.7</v>
      </c>
      <c r="Q58" s="381"/>
      <c r="R58" s="93">
        <f>'DADOS BÁSICOS 4º ANO'!P13</f>
        <v>4.3</v>
      </c>
      <c r="S58" s="381"/>
    </row>
    <row r="59" spans="1:20" ht="12.75" customHeight="1">
      <c r="A59" s="94"/>
      <c r="B59" s="286" t="s">
        <v>117</v>
      </c>
      <c r="C59" s="286"/>
      <c r="D59" s="286"/>
      <c r="E59" s="286"/>
      <c r="F59" s="286"/>
      <c r="G59" s="286"/>
      <c r="H59" s="95">
        <f>'DADOS BÁSICOS 4º ANO'!$O8</f>
        <v>44</v>
      </c>
      <c r="I59" s="318"/>
      <c r="J59" s="95">
        <f>'DADOS BÁSICOS 4º ANO'!$O9</f>
        <v>44</v>
      </c>
      <c r="K59" s="381"/>
      <c r="L59" s="95">
        <f>'DADOS BÁSICOS 4º ANO'!$O10</f>
        <v>44</v>
      </c>
      <c r="M59" s="381"/>
      <c r="N59" s="95">
        <f>'DADOS BÁSICOS 4º ANO'!$O11</f>
        <v>44</v>
      </c>
      <c r="O59" s="381"/>
      <c r="P59" s="95">
        <f>'DADOS BÁSICOS 4º ANO'!$O12</f>
        <v>44</v>
      </c>
      <c r="Q59" s="381"/>
      <c r="R59" s="95">
        <f>'DADOS BÁSICOS 4º ANO'!$O13</f>
        <v>44</v>
      </c>
      <c r="S59" s="381"/>
    </row>
    <row r="60" spans="1:20" ht="12.75" customHeight="1">
      <c r="A60" s="69"/>
      <c r="B60" s="286" t="s">
        <v>118</v>
      </c>
      <c r="C60" s="286"/>
      <c r="D60" s="286"/>
      <c r="E60" s="286"/>
      <c r="F60" s="286"/>
      <c r="G60" s="286"/>
      <c r="H60" s="96">
        <v>0.06</v>
      </c>
      <c r="I60" s="319"/>
      <c r="J60" s="96">
        <v>0.06</v>
      </c>
      <c r="K60" s="381"/>
      <c r="L60" s="96">
        <v>0.06</v>
      </c>
      <c r="M60" s="381"/>
      <c r="N60" s="96">
        <v>0.06</v>
      </c>
      <c r="O60" s="381"/>
      <c r="P60" s="96">
        <v>0.06</v>
      </c>
      <c r="Q60" s="381"/>
      <c r="R60" s="96">
        <v>0.06</v>
      </c>
      <c r="S60" s="381"/>
    </row>
    <row r="61" spans="1:20" ht="15" customHeight="1">
      <c r="A61" s="69" t="s">
        <v>60</v>
      </c>
      <c r="B61" s="286" t="s">
        <v>119</v>
      </c>
      <c r="C61" s="286"/>
      <c r="D61" s="286"/>
      <c r="E61" s="286"/>
      <c r="F61" s="286"/>
      <c r="G61" s="286"/>
      <c r="H61" s="97"/>
      <c r="I61" s="313">
        <f>H62-(H62*H64)</f>
        <v>360</v>
      </c>
      <c r="J61" s="97"/>
      <c r="K61" s="380">
        <f>J62-(J62*J64)</f>
        <v>360</v>
      </c>
      <c r="L61" s="97"/>
      <c r="M61" s="380">
        <f>L62-(L62*L64)</f>
        <v>360</v>
      </c>
      <c r="N61" s="97"/>
      <c r="O61" s="380">
        <f>N62-(N62*N64)</f>
        <v>360</v>
      </c>
      <c r="P61" s="97"/>
      <c r="Q61" s="380">
        <f>P62-(P62*P64)</f>
        <v>360</v>
      </c>
      <c r="R61" s="97"/>
      <c r="S61" s="380">
        <f>R62-(R62*R64)</f>
        <v>360</v>
      </c>
    </row>
    <row r="62" spans="1:20" ht="15" customHeight="1">
      <c r="A62" s="69"/>
      <c r="B62" s="286" t="s">
        <v>256</v>
      </c>
      <c r="C62" s="286"/>
      <c r="D62" s="286"/>
      <c r="E62" s="286"/>
      <c r="F62" s="286"/>
      <c r="G62" s="286"/>
      <c r="H62" s="98">
        <f>'DADOS BÁSICOS 4º ANO'!I8</f>
        <v>450</v>
      </c>
      <c r="I62" s="314"/>
      <c r="J62" s="98">
        <f>'DADOS BÁSICOS 4º ANO'!I9</f>
        <v>450</v>
      </c>
      <c r="K62" s="380"/>
      <c r="L62" s="98">
        <f>'DADOS BÁSICOS 4º ANO'!I10</f>
        <v>450</v>
      </c>
      <c r="M62" s="380"/>
      <c r="N62" s="98">
        <f>'DADOS BÁSICOS 4º ANO'!I11</f>
        <v>450</v>
      </c>
      <c r="O62" s="380"/>
      <c r="P62" s="98">
        <f>'DADOS BÁSICOS 4º ANO'!I12</f>
        <v>450</v>
      </c>
      <c r="Q62" s="380"/>
      <c r="R62" s="98">
        <f>'DADOS BÁSICOS 4º ANO'!I13</f>
        <v>450</v>
      </c>
      <c r="S62" s="380"/>
      <c r="T62" s="99"/>
    </row>
    <row r="63" spans="1:20" ht="15" customHeight="1">
      <c r="A63" s="69"/>
      <c r="B63" s="286" t="s">
        <v>258</v>
      </c>
      <c r="C63" s="286"/>
      <c r="D63" s="286"/>
      <c r="E63" s="286"/>
      <c r="F63" s="286"/>
      <c r="G63" s="286"/>
      <c r="H63" s="100"/>
      <c r="I63" s="314"/>
      <c r="J63" s="100"/>
      <c r="K63" s="380"/>
      <c r="L63" s="100"/>
      <c r="M63" s="380"/>
      <c r="N63" s="100"/>
      <c r="O63" s="380"/>
      <c r="P63" s="100"/>
      <c r="Q63" s="380"/>
      <c r="R63" s="100"/>
      <c r="S63" s="380"/>
      <c r="T63" s="99"/>
    </row>
    <row r="64" spans="1:20" ht="15" customHeight="1">
      <c r="A64" s="69"/>
      <c r="B64" s="286" t="s">
        <v>257</v>
      </c>
      <c r="C64" s="286"/>
      <c r="D64" s="286"/>
      <c r="E64" s="286"/>
      <c r="F64" s="286"/>
      <c r="G64" s="286"/>
      <c r="H64" s="101">
        <f>'DADOS BÁSICOS 4º ANO'!$N8</f>
        <v>0.2</v>
      </c>
      <c r="I64" s="315"/>
      <c r="J64" s="101">
        <f>'DADOS BÁSICOS 4º ANO'!$N9</f>
        <v>0.2</v>
      </c>
      <c r="K64" s="380"/>
      <c r="L64" s="101">
        <f>'DADOS BÁSICOS 4º ANO'!$N10</f>
        <v>0.2</v>
      </c>
      <c r="M64" s="380"/>
      <c r="N64" s="101">
        <f>'DADOS BÁSICOS 4º ANO'!$N11</f>
        <v>0.2</v>
      </c>
      <c r="O64" s="380"/>
      <c r="P64" s="101">
        <f>'DADOS BÁSICOS 4º ANO'!$N12</f>
        <v>0.2</v>
      </c>
      <c r="Q64" s="380"/>
      <c r="R64" s="101">
        <f>'DADOS BÁSICOS 4º ANO'!$N13</f>
        <v>0.2</v>
      </c>
      <c r="S64" s="380"/>
    </row>
    <row r="65" spans="1:19" ht="17.25" customHeight="1">
      <c r="A65" s="69" t="s">
        <v>62</v>
      </c>
      <c r="B65" s="286" t="str">
        <f>'DADOS BÁSICOS 4º ANO'!$J$7</f>
        <v>Auxílio Saúde</v>
      </c>
      <c r="C65" s="286"/>
      <c r="D65" s="286"/>
      <c r="E65" s="286"/>
      <c r="F65" s="286"/>
      <c r="G65" s="286"/>
      <c r="H65" s="102"/>
      <c r="I65" s="57">
        <f>'DADOS BÁSICOS 4º ANO'!$J$8</f>
        <v>64</v>
      </c>
      <c r="J65" s="102"/>
      <c r="K65" s="57">
        <f>'DADOS BÁSICOS 4º ANO'!$J$9</f>
        <v>64</v>
      </c>
      <c r="L65" s="102"/>
      <c r="M65" s="57">
        <f>'DADOS BÁSICOS 4º ANO'!$J$9</f>
        <v>64</v>
      </c>
      <c r="N65" s="102"/>
      <c r="O65" s="57">
        <f>'DADOS BÁSICOS 4º ANO'!$J$9</f>
        <v>64</v>
      </c>
      <c r="P65" s="102"/>
      <c r="Q65" s="57">
        <f>'DADOS BÁSICOS 4º ANO'!$J$9</f>
        <v>64</v>
      </c>
      <c r="R65" s="102"/>
      <c r="S65" s="57">
        <f>'DADOS BÁSICOS 4º ANO'!$J$9</f>
        <v>64</v>
      </c>
    </row>
    <row r="66" spans="1:19" ht="16" customHeight="1">
      <c r="A66" s="69" t="s">
        <v>64</v>
      </c>
      <c r="B66" s="286" t="str">
        <f>'DADOS BÁSICOS 4º ANO'!$K$7</f>
        <v>Benefício Familiar</v>
      </c>
      <c r="C66" s="286"/>
      <c r="D66" s="286"/>
      <c r="E66" s="286"/>
      <c r="F66" s="286"/>
      <c r="G66" s="286"/>
      <c r="H66" s="103"/>
      <c r="I66" s="104">
        <f>'DADOS BÁSICOS 4º ANO'!$K$8</f>
        <v>21</v>
      </c>
      <c r="J66" s="103"/>
      <c r="K66" s="104">
        <f>'DADOS BÁSICOS 4º ANO'!$K$9</f>
        <v>21</v>
      </c>
      <c r="L66" s="103"/>
      <c r="M66" s="104">
        <f>'DADOS BÁSICOS 4º ANO'!$K$9</f>
        <v>21</v>
      </c>
      <c r="N66" s="103"/>
      <c r="O66" s="104">
        <f>'DADOS BÁSICOS 4º ANO'!$K$9</f>
        <v>21</v>
      </c>
      <c r="P66" s="103"/>
      <c r="Q66" s="104">
        <f>'DADOS BÁSICOS 4º ANO'!$K$9</f>
        <v>21</v>
      </c>
      <c r="R66" s="103"/>
      <c r="S66" s="104">
        <f>'DADOS BÁSICOS 4º ANO'!$K$9</f>
        <v>21</v>
      </c>
    </row>
    <row r="67" spans="1:19" ht="15" customHeight="1">
      <c r="A67" s="69" t="s">
        <v>66</v>
      </c>
      <c r="B67" s="286" t="str">
        <f>'DADOS BÁSICOS 4º ANO'!$L$7</f>
        <v>Fundo de Fomação Profissional</v>
      </c>
      <c r="C67" s="286"/>
      <c r="D67" s="286"/>
      <c r="E67" s="286"/>
      <c r="F67" s="286"/>
      <c r="G67" s="286"/>
      <c r="H67" s="102"/>
      <c r="I67" s="104">
        <f>'DADOS BÁSICOS 4º ANO'!$L$8</f>
        <v>21</v>
      </c>
      <c r="J67" s="102"/>
      <c r="K67" s="104">
        <f>'DADOS BÁSICOS 4º ANO'!$L$9</f>
        <v>21</v>
      </c>
      <c r="L67" s="102"/>
      <c r="M67" s="104">
        <f>'DADOS BÁSICOS 4º ANO'!$L$9</f>
        <v>21</v>
      </c>
      <c r="N67" s="102"/>
      <c r="O67" s="104">
        <f>'DADOS BÁSICOS 4º ANO'!$L$9</f>
        <v>21</v>
      </c>
      <c r="P67" s="102"/>
      <c r="Q67" s="104">
        <f>'DADOS BÁSICOS 4º ANO'!$L$9</f>
        <v>21</v>
      </c>
      <c r="R67" s="102"/>
      <c r="S67" s="104">
        <f>'DADOS BÁSICOS 4º ANO'!$L$9</f>
        <v>21</v>
      </c>
    </row>
    <row r="68" spans="1:19" ht="18" customHeight="1">
      <c r="A68" s="72" t="s">
        <v>84</v>
      </c>
      <c r="B68" s="312" t="s">
        <v>200</v>
      </c>
      <c r="C68" s="312"/>
      <c r="D68" s="312"/>
      <c r="E68" s="312"/>
      <c r="F68" s="312"/>
      <c r="G68" s="312"/>
      <c r="H68" s="105">
        <f>1/12</f>
        <v>8.3299999999999999E-2</v>
      </c>
      <c r="I68" s="107">
        <f>I61*H68</f>
        <v>29.99</v>
      </c>
      <c r="J68" s="105">
        <f t="shared" ref="J68" si="49">1/12</f>
        <v>8.3299999999999999E-2</v>
      </c>
      <c r="K68" s="107">
        <f t="shared" ref="K68" si="50">K61*J68</f>
        <v>29.99</v>
      </c>
      <c r="L68" s="105">
        <f t="shared" ref="L68" si="51">1/12</f>
        <v>8.3299999999999999E-2</v>
      </c>
      <c r="M68" s="107">
        <f t="shared" ref="M68" si="52">M61*L68</f>
        <v>29.99</v>
      </c>
      <c r="N68" s="105">
        <f t="shared" ref="N68" si="53">1/12</f>
        <v>8.3299999999999999E-2</v>
      </c>
      <c r="O68" s="107">
        <f t="shared" ref="O68" si="54">O61*N68</f>
        <v>29.99</v>
      </c>
      <c r="P68" s="105">
        <f t="shared" ref="P68" si="55">1/12</f>
        <v>8.3299999999999999E-2</v>
      </c>
      <c r="Q68" s="107">
        <f t="shared" ref="Q68" si="56">Q61*P68</f>
        <v>29.99</v>
      </c>
      <c r="R68" s="105">
        <f t="shared" ref="R68" si="57">1/12</f>
        <v>8.3299999999999999E-2</v>
      </c>
      <c r="S68" s="107">
        <f t="shared" ref="S68" si="58">S61*R68</f>
        <v>29.99</v>
      </c>
    </row>
    <row r="69" spans="1:19" ht="18" customHeight="1">
      <c r="A69" s="72" t="s">
        <v>268</v>
      </c>
      <c r="B69" s="312" t="s">
        <v>269</v>
      </c>
      <c r="C69" s="312"/>
      <c r="D69" s="312"/>
      <c r="E69" s="312"/>
      <c r="F69" s="312"/>
      <c r="G69" s="312"/>
      <c r="H69" s="105">
        <f>(1/11)/12</f>
        <v>7.6E-3</v>
      </c>
      <c r="I69" s="107">
        <f>I61*H69</f>
        <v>2.74</v>
      </c>
      <c r="J69" s="105">
        <f t="shared" ref="J69" si="59">(1/11)/12</f>
        <v>7.6E-3</v>
      </c>
      <c r="K69" s="107">
        <f t="shared" ref="K69" si="60">K61*J69</f>
        <v>2.74</v>
      </c>
      <c r="L69" s="105">
        <f t="shared" ref="L69" si="61">(1/11)/12</f>
        <v>7.6E-3</v>
      </c>
      <c r="M69" s="107">
        <f t="shared" ref="M69" si="62">M61*L69</f>
        <v>2.74</v>
      </c>
      <c r="N69" s="105">
        <f t="shared" ref="N69" si="63">(1/11)/12</f>
        <v>7.6E-3</v>
      </c>
      <c r="O69" s="107">
        <f t="shared" ref="O69" si="64">O61*N69</f>
        <v>2.74</v>
      </c>
      <c r="P69" s="105">
        <f t="shared" ref="P69" si="65">(1/11)/12</f>
        <v>7.6E-3</v>
      </c>
      <c r="Q69" s="107">
        <f t="shared" ref="Q69" si="66">Q61*P69</f>
        <v>2.74</v>
      </c>
      <c r="R69" s="105">
        <f t="shared" ref="R69" si="67">(1/11)/12</f>
        <v>7.6E-3</v>
      </c>
      <c r="S69" s="107">
        <f t="shared" ref="S69" si="68">S61*R69</f>
        <v>2.74</v>
      </c>
    </row>
    <row r="70" spans="1:19" ht="18" customHeight="1">
      <c r="A70" s="108" t="s">
        <v>110</v>
      </c>
      <c r="B70" s="297" t="s">
        <v>201</v>
      </c>
      <c r="C70" s="297"/>
      <c r="D70" s="297"/>
      <c r="E70" s="297"/>
      <c r="F70" s="297"/>
      <c r="G70" s="297"/>
      <c r="H70" s="109">
        <f>((H11/11)/12)/H11</f>
        <v>7.6E-3</v>
      </c>
      <c r="I70" s="225">
        <f>I61*H70</f>
        <v>2.74</v>
      </c>
      <c r="J70" s="109">
        <f t="shared" ref="J70" si="69">((J11/11)/12)/J11</f>
        <v>7.6E-3</v>
      </c>
      <c r="K70" s="225">
        <f t="shared" ref="K70" si="70">K61*J70</f>
        <v>2.74</v>
      </c>
      <c r="L70" s="109">
        <f t="shared" ref="L70" si="71">((L11/11)/12)/L11</f>
        <v>7.6E-3</v>
      </c>
      <c r="M70" s="225">
        <f t="shared" ref="M70" si="72">M61*L70</f>
        <v>2.74</v>
      </c>
      <c r="N70" s="109">
        <f t="shared" ref="N70" si="73">((N11/11)/12)/N11</f>
        <v>7.6E-3</v>
      </c>
      <c r="O70" s="225">
        <f t="shared" ref="O70" si="74">O61*N70</f>
        <v>2.74</v>
      </c>
      <c r="P70" s="109">
        <f t="shared" ref="P70" si="75">((P11/11)/12)/P11</f>
        <v>7.6E-3</v>
      </c>
      <c r="Q70" s="225">
        <f t="shared" ref="Q70" si="76">Q61*P70</f>
        <v>2.74</v>
      </c>
      <c r="R70" s="109">
        <f t="shared" ref="R70" si="77">((R11/11)/12)/R11</f>
        <v>7.6E-3</v>
      </c>
      <c r="S70" s="225">
        <f t="shared" ref="S70" si="78">S61*R70</f>
        <v>2.74</v>
      </c>
    </row>
    <row r="71" spans="1:19" ht="18" customHeight="1">
      <c r="A71" s="76" t="s">
        <v>111</v>
      </c>
      <c r="B71" s="310" t="s">
        <v>202</v>
      </c>
      <c r="C71" s="310"/>
      <c r="D71" s="310"/>
      <c r="E71" s="310"/>
      <c r="F71" s="310"/>
      <c r="G71" s="310"/>
      <c r="H71" s="111">
        <f>(H$11/11)/H$11</f>
        <v>9.0899999999999995E-2</v>
      </c>
      <c r="I71" s="226">
        <f>I65*H71</f>
        <v>5.82</v>
      </c>
      <c r="J71" s="111">
        <f t="shared" ref="J71" si="79">(J$11/11)/J$11</f>
        <v>9.0899999999999995E-2</v>
      </c>
      <c r="K71" s="226">
        <f t="shared" ref="K71:K73" si="80">K65*J71</f>
        <v>5.82</v>
      </c>
      <c r="L71" s="111">
        <f t="shared" ref="L71" si="81">(L$11/11)/L$11</f>
        <v>9.0899999999999995E-2</v>
      </c>
      <c r="M71" s="226">
        <f t="shared" ref="M71:M73" si="82">M65*L71</f>
        <v>5.82</v>
      </c>
      <c r="N71" s="111">
        <f t="shared" ref="N71" si="83">(N$11/11)/N$11</f>
        <v>9.0899999999999995E-2</v>
      </c>
      <c r="O71" s="226">
        <f t="shared" ref="O71:O73" si="84">O65*N71</f>
        <v>5.82</v>
      </c>
      <c r="P71" s="111">
        <f t="shared" ref="P71" si="85">(P$11/11)/P$11</f>
        <v>9.0899999999999995E-2</v>
      </c>
      <c r="Q71" s="226">
        <f t="shared" ref="Q71:Q73" si="86">Q65*P71</f>
        <v>5.82</v>
      </c>
      <c r="R71" s="111">
        <f t="shared" ref="R71" si="87">(R$11/11)/R$11</f>
        <v>9.0899999999999995E-2</v>
      </c>
      <c r="S71" s="226">
        <f t="shared" ref="S71:S73" si="88">S65*R71</f>
        <v>5.82</v>
      </c>
    </row>
    <row r="72" spans="1:19" ht="18" customHeight="1">
      <c r="A72" s="76" t="s">
        <v>198</v>
      </c>
      <c r="B72" s="310" t="s">
        <v>203</v>
      </c>
      <c r="C72" s="310"/>
      <c r="D72" s="310"/>
      <c r="E72" s="310"/>
      <c r="F72" s="310"/>
      <c r="G72" s="310"/>
      <c r="H72" s="111">
        <f t="shared" ref="H72:R73" si="89">(H$11/11)/H$11</f>
        <v>9.0899999999999995E-2</v>
      </c>
      <c r="I72" s="226">
        <f>I66*H72</f>
        <v>1.91</v>
      </c>
      <c r="J72" s="111">
        <f t="shared" si="89"/>
        <v>9.0899999999999995E-2</v>
      </c>
      <c r="K72" s="226">
        <f t="shared" si="80"/>
        <v>1.91</v>
      </c>
      <c r="L72" s="111">
        <f t="shared" si="89"/>
        <v>9.0899999999999995E-2</v>
      </c>
      <c r="M72" s="226">
        <f t="shared" si="82"/>
        <v>1.91</v>
      </c>
      <c r="N72" s="111">
        <f t="shared" si="89"/>
        <v>9.0899999999999995E-2</v>
      </c>
      <c r="O72" s="226">
        <f t="shared" si="84"/>
        <v>1.91</v>
      </c>
      <c r="P72" s="111">
        <f t="shared" si="89"/>
        <v>9.0899999999999995E-2</v>
      </c>
      <c r="Q72" s="226">
        <f t="shared" si="86"/>
        <v>1.91</v>
      </c>
      <c r="R72" s="111">
        <f t="shared" si="89"/>
        <v>9.0899999999999995E-2</v>
      </c>
      <c r="S72" s="226">
        <f t="shared" si="88"/>
        <v>1.91</v>
      </c>
    </row>
    <row r="73" spans="1:19" ht="18" customHeight="1">
      <c r="A73" s="76" t="s">
        <v>199</v>
      </c>
      <c r="B73" s="310" t="s">
        <v>204</v>
      </c>
      <c r="C73" s="310"/>
      <c r="D73" s="310"/>
      <c r="E73" s="310"/>
      <c r="F73" s="310"/>
      <c r="G73" s="310"/>
      <c r="H73" s="111">
        <f t="shared" si="89"/>
        <v>9.0899999999999995E-2</v>
      </c>
      <c r="I73" s="226">
        <f>I67*H73</f>
        <v>1.91</v>
      </c>
      <c r="J73" s="111">
        <f t="shared" si="89"/>
        <v>9.0899999999999995E-2</v>
      </c>
      <c r="K73" s="226">
        <f t="shared" si="80"/>
        <v>1.91</v>
      </c>
      <c r="L73" s="111">
        <f t="shared" si="89"/>
        <v>9.0899999999999995E-2</v>
      </c>
      <c r="M73" s="226">
        <f t="shared" si="82"/>
        <v>1.91</v>
      </c>
      <c r="N73" s="111">
        <f t="shared" si="89"/>
        <v>9.0899999999999995E-2</v>
      </c>
      <c r="O73" s="226">
        <f t="shared" si="84"/>
        <v>1.91</v>
      </c>
      <c r="P73" s="111">
        <f t="shared" si="89"/>
        <v>9.0899999999999995E-2</v>
      </c>
      <c r="Q73" s="226">
        <f t="shared" si="86"/>
        <v>1.91</v>
      </c>
      <c r="R73" s="111">
        <f t="shared" si="89"/>
        <v>9.0899999999999995E-2</v>
      </c>
      <c r="S73" s="226">
        <f t="shared" si="88"/>
        <v>1.91</v>
      </c>
    </row>
    <row r="74" spans="1:19" ht="19.5" customHeight="1">
      <c r="A74" s="287" t="s">
        <v>85</v>
      </c>
      <c r="B74" s="287"/>
      <c r="C74" s="287"/>
      <c r="D74" s="287"/>
      <c r="E74" s="287"/>
      <c r="F74" s="287"/>
      <c r="G74" s="287"/>
      <c r="H74" s="113"/>
      <c r="I74" s="80">
        <f>SUM(I57:I73)</f>
        <v>626.38</v>
      </c>
      <c r="J74" s="113"/>
      <c r="K74" s="80">
        <f>SUM(K57:K73)</f>
        <v>577.98</v>
      </c>
      <c r="L74" s="113"/>
      <c r="M74" s="80">
        <f>SUM(M57:M73)</f>
        <v>615.38</v>
      </c>
      <c r="N74" s="113"/>
      <c r="O74" s="80">
        <f>SUM(O57:O73)</f>
        <v>617.58000000000004</v>
      </c>
      <c r="P74" s="113"/>
      <c r="Q74" s="80">
        <f>SUM(Q57:Q73)</f>
        <v>591.17999999999995</v>
      </c>
      <c r="R74" s="113"/>
      <c r="S74" s="80">
        <f>SUM(S57:S73)</f>
        <v>617.58000000000004</v>
      </c>
    </row>
    <row r="75" spans="1:19" ht="30.75" customHeight="1">
      <c r="A75" s="37" t="s">
        <v>120</v>
      </c>
      <c r="B75" s="63"/>
      <c r="C75" s="63"/>
      <c r="D75" s="63"/>
      <c r="E75" s="63"/>
      <c r="F75" s="63"/>
      <c r="G75" s="63"/>
      <c r="H75" s="64"/>
      <c r="I75" s="65"/>
      <c r="J75" s="64"/>
      <c r="K75" s="65"/>
      <c r="L75" s="64"/>
      <c r="M75" s="65"/>
      <c r="N75" s="64"/>
      <c r="O75" s="65"/>
      <c r="P75" s="64"/>
      <c r="Q75" s="65"/>
      <c r="R75" s="64"/>
      <c r="S75" s="65"/>
    </row>
    <row r="76" spans="1:19" ht="20.25" customHeight="1">
      <c r="A76" s="114">
        <v>2</v>
      </c>
      <c r="B76" s="311" t="s">
        <v>121</v>
      </c>
      <c r="C76" s="311"/>
      <c r="D76" s="311"/>
      <c r="E76" s="311"/>
      <c r="F76" s="311"/>
      <c r="G76" s="311"/>
      <c r="H76" s="115"/>
      <c r="I76" s="116" t="s">
        <v>79</v>
      </c>
      <c r="J76" s="115"/>
      <c r="K76" s="116" t="s">
        <v>79</v>
      </c>
      <c r="L76" s="115"/>
      <c r="M76" s="116" t="s">
        <v>79</v>
      </c>
      <c r="N76" s="115"/>
      <c r="O76" s="116" t="s">
        <v>79</v>
      </c>
      <c r="P76" s="115"/>
      <c r="Q76" s="116" t="s">
        <v>79</v>
      </c>
      <c r="R76" s="115"/>
      <c r="S76" s="116" t="s">
        <v>79</v>
      </c>
    </row>
    <row r="77" spans="1:19" ht="12.75" customHeight="1">
      <c r="A77" s="69" t="s">
        <v>87</v>
      </c>
      <c r="B77" s="286" t="s">
        <v>88</v>
      </c>
      <c r="C77" s="286"/>
      <c r="D77" s="286"/>
      <c r="E77" s="286"/>
      <c r="F77" s="286"/>
      <c r="G77" s="286"/>
      <c r="H77" s="48"/>
      <c r="I77" s="71">
        <f>I40</f>
        <v>396.89</v>
      </c>
      <c r="J77" s="48"/>
      <c r="K77" s="71">
        <f>K40</f>
        <v>396.89</v>
      </c>
      <c r="L77" s="48"/>
      <c r="M77" s="71">
        <f>M40</f>
        <v>396.89</v>
      </c>
      <c r="N77" s="48"/>
      <c r="O77" s="71">
        <f>O40</f>
        <v>396.89</v>
      </c>
      <c r="P77" s="48"/>
      <c r="Q77" s="71">
        <f>Q40</f>
        <v>396.89</v>
      </c>
      <c r="R77" s="48"/>
      <c r="S77" s="71">
        <f>S40</f>
        <v>396.89</v>
      </c>
    </row>
    <row r="78" spans="1:19" ht="12.75" customHeight="1">
      <c r="A78" s="69" t="s">
        <v>106</v>
      </c>
      <c r="B78" s="286" t="s">
        <v>107</v>
      </c>
      <c r="C78" s="286"/>
      <c r="D78" s="286"/>
      <c r="E78" s="286"/>
      <c r="F78" s="286"/>
      <c r="G78" s="286"/>
      <c r="H78" s="48"/>
      <c r="I78" s="71">
        <f>I54</f>
        <v>810.85</v>
      </c>
      <c r="J78" s="48"/>
      <c r="K78" s="71">
        <f>K54</f>
        <v>810.85</v>
      </c>
      <c r="L78" s="48"/>
      <c r="M78" s="71">
        <f>M54</f>
        <v>810.85</v>
      </c>
      <c r="N78" s="48"/>
      <c r="O78" s="71">
        <f>O54</f>
        <v>810.85</v>
      </c>
      <c r="P78" s="48"/>
      <c r="Q78" s="71">
        <f>Q54</f>
        <v>810.85</v>
      </c>
      <c r="R78" s="48"/>
      <c r="S78" s="71">
        <f>S54</f>
        <v>810.85</v>
      </c>
    </row>
    <row r="79" spans="1:19" ht="12.75" customHeight="1">
      <c r="A79" s="69" t="s">
        <v>113</v>
      </c>
      <c r="B79" s="286" t="s">
        <v>114</v>
      </c>
      <c r="C79" s="286"/>
      <c r="D79" s="286"/>
      <c r="E79" s="286"/>
      <c r="F79" s="286"/>
      <c r="G79" s="286"/>
      <c r="H79" s="48"/>
      <c r="I79" s="71">
        <f>I74</f>
        <v>626.38</v>
      </c>
      <c r="J79" s="48"/>
      <c r="K79" s="71">
        <f>K74</f>
        <v>577.98</v>
      </c>
      <c r="L79" s="48"/>
      <c r="M79" s="71">
        <f>M74</f>
        <v>615.38</v>
      </c>
      <c r="N79" s="48"/>
      <c r="O79" s="71">
        <f>O74</f>
        <v>617.58000000000004</v>
      </c>
      <c r="P79" s="48"/>
      <c r="Q79" s="71">
        <f>Q74</f>
        <v>591.17999999999995</v>
      </c>
      <c r="R79" s="48"/>
      <c r="S79" s="71">
        <f>S74</f>
        <v>617.58000000000004</v>
      </c>
    </row>
    <row r="80" spans="1:19">
      <c r="A80" s="304" t="s">
        <v>85</v>
      </c>
      <c r="B80" s="304"/>
      <c r="C80" s="304"/>
      <c r="D80" s="304"/>
      <c r="E80" s="304"/>
      <c r="F80" s="304"/>
      <c r="G80" s="304"/>
      <c r="H80" s="117"/>
      <c r="I80" s="82">
        <f>SUM(I77:I79)</f>
        <v>1834.12</v>
      </c>
      <c r="J80" s="117"/>
      <c r="K80" s="82">
        <f>SUM(K77:K79)</f>
        <v>1785.72</v>
      </c>
      <c r="L80" s="117"/>
      <c r="M80" s="82">
        <f>SUM(M77:M79)</f>
        <v>1823.12</v>
      </c>
      <c r="N80" s="117"/>
      <c r="O80" s="82">
        <f>SUM(O77:O79)</f>
        <v>1825.32</v>
      </c>
      <c r="P80" s="117"/>
      <c r="Q80" s="82">
        <f>SUM(Q77:Q79)</f>
        <v>1798.92</v>
      </c>
      <c r="R80" s="117"/>
      <c r="S80" s="82">
        <f>SUM(S77:S79)</f>
        <v>1825.32</v>
      </c>
    </row>
    <row r="81" spans="1:19" ht="26.25" customHeight="1">
      <c r="A81" s="37" t="s">
        <v>122</v>
      </c>
      <c r="B81" s="118"/>
      <c r="C81" s="118"/>
      <c r="D81" s="118"/>
      <c r="E81" s="118"/>
      <c r="F81" s="118"/>
      <c r="G81" s="118"/>
      <c r="H81" s="64"/>
      <c r="I81" s="65"/>
      <c r="J81" s="64"/>
      <c r="K81" s="65"/>
      <c r="L81" s="64"/>
      <c r="M81" s="65"/>
      <c r="N81" s="64"/>
      <c r="O81" s="65"/>
      <c r="P81" s="64"/>
      <c r="Q81" s="65"/>
      <c r="R81" s="64"/>
      <c r="S81" s="65"/>
    </row>
    <row r="82" spans="1:19" ht="26.25" customHeight="1">
      <c r="A82" s="119">
        <v>3</v>
      </c>
      <c r="B82" s="305" t="s">
        <v>123</v>
      </c>
      <c r="C82" s="305"/>
      <c r="D82" s="305"/>
      <c r="E82" s="305"/>
      <c r="F82" s="305"/>
      <c r="G82" s="305"/>
      <c r="H82" s="120" t="s">
        <v>89</v>
      </c>
      <c r="I82" s="47" t="s">
        <v>79</v>
      </c>
      <c r="J82" s="46" t="s">
        <v>89</v>
      </c>
      <c r="K82" s="47" t="s">
        <v>79</v>
      </c>
      <c r="L82" s="46" t="s">
        <v>89</v>
      </c>
      <c r="M82" s="47" t="s">
        <v>79</v>
      </c>
      <c r="N82" s="46" t="s">
        <v>89</v>
      </c>
      <c r="O82" s="47" t="s">
        <v>79</v>
      </c>
      <c r="P82" s="46" t="s">
        <v>89</v>
      </c>
      <c r="Q82" s="47" t="s">
        <v>79</v>
      </c>
      <c r="R82" s="46" t="s">
        <v>89</v>
      </c>
      <c r="S82" s="47" t="s">
        <v>79</v>
      </c>
    </row>
    <row r="83" spans="1:19" ht="16.5" customHeight="1">
      <c r="A83" s="121" t="s">
        <v>58</v>
      </c>
      <c r="B83" s="306" t="s">
        <v>124</v>
      </c>
      <c r="C83" s="307"/>
      <c r="D83" s="307"/>
      <c r="E83" s="307"/>
      <c r="F83" s="307"/>
      <c r="G83" s="308"/>
      <c r="H83" s="122">
        <f>((100%/12)*'DADOS BÁSICOS 4º ANO'!$Q8)/10</f>
        <v>2.8E-3</v>
      </c>
      <c r="I83" s="123">
        <f>H83*I$43</f>
        <v>6.17</v>
      </c>
      <c r="J83" s="122">
        <f>((100%/12)*'DADOS BÁSICOS 4º ANO'!$Q8)/10</f>
        <v>2.8E-3</v>
      </c>
      <c r="K83" s="123">
        <f t="shared" ref="K83" si="90">J83*K$43</f>
        <v>6.17</v>
      </c>
      <c r="L83" s="122">
        <f>((100%/12)*'DADOS BÁSICOS 4º ANO'!$Q8)/10</f>
        <v>2.8E-3</v>
      </c>
      <c r="M83" s="123">
        <f t="shared" ref="M83" si="91">L83*M$43</f>
        <v>6.17</v>
      </c>
      <c r="N83" s="122">
        <f>((100%/12)*'DADOS BÁSICOS 4º ANO'!$Q8)/10</f>
        <v>2.8E-3</v>
      </c>
      <c r="O83" s="123">
        <f t="shared" ref="O83" si="92">N83*O$43</f>
        <v>6.17</v>
      </c>
      <c r="P83" s="122">
        <f>((100%/12)*'DADOS BÁSICOS 4º ANO'!$Q8)/10</f>
        <v>2.8E-3</v>
      </c>
      <c r="Q83" s="123">
        <f t="shared" ref="Q83" si="93">P83*Q$43</f>
        <v>6.17</v>
      </c>
      <c r="R83" s="122">
        <f>((100%/12)*'DADOS BÁSICOS 4º ANO'!$Q8)/10</f>
        <v>2.8E-3</v>
      </c>
      <c r="S83" s="123">
        <f t="shared" ref="S83" si="94">R83*S$43</f>
        <v>6.17</v>
      </c>
    </row>
    <row r="84" spans="1:19">
      <c r="A84" s="69" t="s">
        <v>60</v>
      </c>
      <c r="B84" s="294" t="s">
        <v>125</v>
      </c>
      <c r="C84" s="294"/>
      <c r="D84" s="294"/>
      <c r="E84" s="294"/>
      <c r="F84" s="294"/>
      <c r="G84" s="294"/>
      <c r="H84" s="124">
        <v>0.08</v>
      </c>
      <c r="I84" s="125">
        <f>I83*H84</f>
        <v>0.49</v>
      </c>
      <c r="J84" s="124">
        <v>0.08</v>
      </c>
      <c r="K84" s="125">
        <f t="shared" ref="K84" si="95">K83*J84</f>
        <v>0.49</v>
      </c>
      <c r="L84" s="124">
        <v>0.08</v>
      </c>
      <c r="M84" s="125">
        <f t="shared" ref="M84" si="96">M83*L84</f>
        <v>0.49</v>
      </c>
      <c r="N84" s="124">
        <v>0.08</v>
      </c>
      <c r="O84" s="125">
        <f t="shared" ref="O84" si="97">O83*N84</f>
        <v>0.49</v>
      </c>
      <c r="P84" s="124">
        <v>0.08</v>
      </c>
      <c r="Q84" s="125">
        <f t="shared" ref="Q84" si="98">Q83*P84</f>
        <v>0.49</v>
      </c>
      <c r="R84" s="124">
        <v>0.08</v>
      </c>
      <c r="S84" s="125">
        <f t="shared" ref="S84" si="99">S83*R84</f>
        <v>0.49</v>
      </c>
    </row>
    <row r="85" spans="1:19" ht="12.75" customHeight="1">
      <c r="A85" s="126" t="s">
        <v>62</v>
      </c>
      <c r="B85" s="302" t="s">
        <v>126</v>
      </c>
      <c r="C85" s="303"/>
      <c r="D85" s="303"/>
      <c r="E85" s="303"/>
      <c r="F85" s="303"/>
      <c r="G85" s="284"/>
      <c r="H85" s="127">
        <f>8%*40%*'DADOS BÁSICOS 4º ANO'!$Q8</f>
        <v>1.0800000000000001E-2</v>
      </c>
      <c r="I85" s="125">
        <f>I$43*H85</f>
        <v>23.8</v>
      </c>
      <c r="J85" s="127">
        <f>8%*40%*'DADOS BÁSICOS 4º ANO'!$Q8</f>
        <v>1.0800000000000001E-2</v>
      </c>
      <c r="K85" s="125">
        <f t="shared" ref="K85" si="100">K$43*J85</f>
        <v>23.8</v>
      </c>
      <c r="L85" s="127">
        <f>8%*40%*'DADOS BÁSICOS 4º ANO'!$Q8</f>
        <v>1.0800000000000001E-2</v>
      </c>
      <c r="M85" s="125">
        <f t="shared" ref="M85" si="101">M$43*L85</f>
        <v>23.8</v>
      </c>
      <c r="N85" s="127">
        <f>8%*40%*'DADOS BÁSICOS 4º ANO'!$Q8</f>
        <v>1.0800000000000001E-2</v>
      </c>
      <c r="O85" s="125">
        <f t="shared" ref="O85" si="102">O$43*N85</f>
        <v>23.8</v>
      </c>
      <c r="P85" s="127">
        <f>8%*40%*'DADOS BÁSICOS 4º ANO'!$Q8</f>
        <v>1.0800000000000001E-2</v>
      </c>
      <c r="Q85" s="125">
        <f t="shared" ref="Q85" si="103">Q$43*P85</f>
        <v>23.8</v>
      </c>
      <c r="R85" s="127">
        <f>8%*40%*'DADOS BÁSICOS 4º ANO'!$Q8</f>
        <v>1.0800000000000001E-2</v>
      </c>
      <c r="S85" s="125">
        <f t="shared" ref="S85" si="104">S$43*R85</f>
        <v>23.8</v>
      </c>
    </row>
    <row r="86" spans="1:19" ht="17.25" customHeight="1">
      <c r="A86" s="128" t="s">
        <v>64</v>
      </c>
      <c r="B86" s="309" t="s">
        <v>127</v>
      </c>
      <c r="C86" s="309"/>
      <c r="D86" s="309"/>
      <c r="E86" s="309"/>
      <c r="F86" s="309"/>
      <c r="G86" s="309"/>
      <c r="H86" s="247">
        <f>((7/30)/12)/10</f>
        <v>1.944E-3</v>
      </c>
      <c r="I86" s="248">
        <f>H86*I$43</f>
        <v>4.28</v>
      </c>
      <c r="J86" s="247">
        <f t="shared" ref="J86" si="105">((7/30)/12)/10</f>
        <v>1.944E-3</v>
      </c>
      <c r="K86" s="248">
        <f t="shared" ref="K86" si="106">J86*K$43</f>
        <v>4.28</v>
      </c>
      <c r="L86" s="247">
        <f t="shared" ref="L86" si="107">((7/30)/12)/10</f>
        <v>1.944E-3</v>
      </c>
      <c r="M86" s="248">
        <f t="shared" ref="M86" si="108">L86*M$43</f>
        <v>4.28</v>
      </c>
      <c r="N86" s="247">
        <f t="shared" ref="N86" si="109">((7/30)/12)/10</f>
        <v>1.944E-3</v>
      </c>
      <c r="O86" s="248">
        <f t="shared" ref="O86" si="110">N86*O$43</f>
        <v>4.28</v>
      </c>
      <c r="P86" s="247">
        <f t="shared" ref="P86" si="111">((7/30)/12)/10</f>
        <v>1.944E-3</v>
      </c>
      <c r="Q86" s="248">
        <f t="shared" ref="Q86" si="112">P86*Q$43</f>
        <v>4.28</v>
      </c>
      <c r="R86" s="247">
        <f t="shared" ref="R86" si="113">((7/30)/12)/10</f>
        <v>1.944E-3</v>
      </c>
      <c r="S86" s="248">
        <f t="shared" ref="S86" si="114">R86*S$43</f>
        <v>4.28</v>
      </c>
    </row>
    <row r="87" spans="1:19">
      <c r="A87" s="69" t="s">
        <v>66</v>
      </c>
      <c r="B87" s="294" t="s">
        <v>128</v>
      </c>
      <c r="C87" s="294"/>
      <c r="D87" s="294"/>
      <c r="E87" s="294"/>
      <c r="F87" s="294"/>
      <c r="G87" s="294"/>
      <c r="H87" s="124">
        <f>H54</f>
        <v>0.36799999999999999</v>
      </c>
      <c r="I87" s="131">
        <f>H87*I86</f>
        <v>1.58</v>
      </c>
      <c r="J87" s="124">
        <f t="shared" ref="J87" si="115">J54</f>
        <v>0.36799999999999999</v>
      </c>
      <c r="K87" s="131">
        <f t="shared" ref="K87" si="116">J87*K86</f>
        <v>1.58</v>
      </c>
      <c r="L87" s="124">
        <f t="shared" ref="L87" si="117">L54</f>
        <v>0.36799999999999999</v>
      </c>
      <c r="M87" s="131">
        <f t="shared" ref="M87" si="118">L87*M86</f>
        <v>1.58</v>
      </c>
      <c r="N87" s="124">
        <f t="shared" ref="N87" si="119">N54</f>
        <v>0.36799999999999999</v>
      </c>
      <c r="O87" s="131">
        <f t="shared" ref="O87" si="120">N87*O86</f>
        <v>1.58</v>
      </c>
      <c r="P87" s="124">
        <f t="shared" ref="P87" si="121">P54</f>
        <v>0.36799999999999999</v>
      </c>
      <c r="Q87" s="131">
        <f t="shared" ref="Q87" si="122">P87*Q86</f>
        <v>1.58</v>
      </c>
      <c r="R87" s="124">
        <f t="shared" ref="R87" si="123">R54</f>
        <v>0.36799999999999999</v>
      </c>
      <c r="S87" s="131">
        <f t="shared" ref="S87" si="124">R87*S86</f>
        <v>1.58</v>
      </c>
    </row>
    <row r="88" spans="1:19" ht="12.75" customHeight="1">
      <c r="A88" s="126" t="s">
        <v>84</v>
      </c>
      <c r="B88" s="302" t="s">
        <v>129</v>
      </c>
      <c r="C88" s="303"/>
      <c r="D88" s="303"/>
      <c r="E88" s="303"/>
      <c r="F88" s="303"/>
      <c r="G88" s="284"/>
      <c r="H88" s="127">
        <f>8%*40%*'DADOS BÁSICOS 4º ANO'!$R8</f>
        <v>1.0800000000000001E-2</v>
      </c>
      <c r="I88" s="125">
        <f>I43*H88</f>
        <v>23.8</v>
      </c>
      <c r="J88" s="127">
        <f>8%*40%*'DADOS BÁSICOS 4º ANO'!$R8</f>
        <v>1.0800000000000001E-2</v>
      </c>
      <c r="K88" s="125">
        <f t="shared" ref="K88" si="125">K43*J88</f>
        <v>23.8</v>
      </c>
      <c r="L88" s="127">
        <f>8%*40%*'DADOS BÁSICOS 4º ANO'!$R8</f>
        <v>1.0800000000000001E-2</v>
      </c>
      <c r="M88" s="125">
        <f t="shared" ref="M88" si="126">M43*L88</f>
        <v>23.8</v>
      </c>
      <c r="N88" s="127">
        <f>8%*40%*'DADOS BÁSICOS 4º ANO'!$R8</f>
        <v>1.0800000000000001E-2</v>
      </c>
      <c r="O88" s="125">
        <f t="shared" ref="O88" si="127">O43*N88</f>
        <v>23.8</v>
      </c>
      <c r="P88" s="127">
        <f>8%*40%*'DADOS BÁSICOS 4º ANO'!$R8</f>
        <v>1.0800000000000001E-2</v>
      </c>
      <c r="Q88" s="125">
        <f t="shared" ref="Q88" si="128">Q43*P88</f>
        <v>23.8</v>
      </c>
      <c r="R88" s="127">
        <f>8%*40%*'DADOS BÁSICOS 4º ANO'!$R8</f>
        <v>1.0800000000000001E-2</v>
      </c>
      <c r="S88" s="125">
        <f t="shared" ref="S88" si="129">S43*R88</f>
        <v>23.8</v>
      </c>
    </row>
    <row r="89" spans="1:19">
      <c r="A89" s="287" t="s">
        <v>85</v>
      </c>
      <c r="B89" s="287"/>
      <c r="C89" s="287"/>
      <c r="D89" s="287"/>
      <c r="E89" s="287"/>
      <c r="F89" s="287"/>
      <c r="G89" s="287"/>
      <c r="H89" s="113"/>
      <c r="I89" s="80">
        <f>SUM(I83:I88)</f>
        <v>60.12</v>
      </c>
      <c r="J89" s="113"/>
      <c r="K89" s="80">
        <f>SUM(K83:K88)</f>
        <v>60.12</v>
      </c>
      <c r="L89" s="113"/>
      <c r="M89" s="80">
        <f>SUM(M83:M88)</f>
        <v>60.12</v>
      </c>
      <c r="N89" s="113"/>
      <c r="O89" s="80">
        <f>SUM(O83:O88)</f>
        <v>60.12</v>
      </c>
      <c r="P89" s="113"/>
      <c r="Q89" s="80">
        <f>SUM(Q83:Q88)</f>
        <v>60.12</v>
      </c>
      <c r="R89" s="113"/>
      <c r="S89" s="80">
        <f>SUM(S83:S88)</f>
        <v>60.12</v>
      </c>
    </row>
    <row r="90" spans="1:19">
      <c r="A90" s="304" t="s">
        <v>130</v>
      </c>
      <c r="B90" s="304"/>
      <c r="C90" s="304"/>
      <c r="D90" s="304"/>
      <c r="E90" s="304"/>
      <c r="F90" s="304"/>
      <c r="G90" s="304"/>
      <c r="H90" s="132" t="s">
        <v>93</v>
      </c>
      <c r="I90" s="133">
        <f>I29</f>
        <v>1806.53</v>
      </c>
      <c r="J90" s="132" t="s">
        <v>93</v>
      </c>
      <c r="K90" s="133">
        <f>K29</f>
        <v>1806.53</v>
      </c>
      <c r="L90" s="132" t="s">
        <v>93</v>
      </c>
      <c r="M90" s="133">
        <f>M29</f>
        <v>1806.53</v>
      </c>
      <c r="N90" s="132" t="s">
        <v>93</v>
      </c>
      <c r="O90" s="133">
        <f>O29</f>
        <v>1806.53</v>
      </c>
      <c r="P90" s="132" t="s">
        <v>93</v>
      </c>
      <c r="Q90" s="133">
        <f>Q29</f>
        <v>1806.53</v>
      </c>
      <c r="R90" s="132" t="s">
        <v>93</v>
      </c>
      <c r="S90" s="133">
        <f>S29</f>
        <v>1806.53</v>
      </c>
    </row>
    <row r="91" spans="1:19">
      <c r="A91" s="304"/>
      <c r="B91" s="304"/>
      <c r="C91" s="304"/>
      <c r="D91" s="304"/>
      <c r="E91" s="304"/>
      <c r="F91" s="304"/>
      <c r="G91" s="304"/>
      <c r="H91" s="132" t="s">
        <v>94</v>
      </c>
      <c r="I91" s="133">
        <f>I80</f>
        <v>1834.12</v>
      </c>
      <c r="J91" s="132" t="s">
        <v>94</v>
      </c>
      <c r="K91" s="133">
        <f>K80</f>
        <v>1785.72</v>
      </c>
      <c r="L91" s="132" t="s">
        <v>94</v>
      </c>
      <c r="M91" s="133">
        <f>M80</f>
        <v>1823.12</v>
      </c>
      <c r="N91" s="132" t="s">
        <v>94</v>
      </c>
      <c r="O91" s="133">
        <f>O80</f>
        <v>1825.32</v>
      </c>
      <c r="P91" s="132" t="s">
        <v>94</v>
      </c>
      <c r="Q91" s="133">
        <f>Q80</f>
        <v>1798.92</v>
      </c>
      <c r="R91" s="132" t="s">
        <v>94</v>
      </c>
      <c r="S91" s="133">
        <f>S80</f>
        <v>1825.32</v>
      </c>
    </row>
    <row r="92" spans="1:19">
      <c r="A92" s="304"/>
      <c r="B92" s="304"/>
      <c r="C92" s="304"/>
      <c r="D92" s="304"/>
      <c r="E92" s="304"/>
      <c r="F92" s="304"/>
      <c r="G92" s="304"/>
      <c r="H92" s="132" t="s">
        <v>95</v>
      </c>
      <c r="I92" s="133">
        <f>I89</f>
        <v>60.12</v>
      </c>
      <c r="J92" s="132" t="s">
        <v>95</v>
      </c>
      <c r="K92" s="133">
        <f>K89</f>
        <v>60.12</v>
      </c>
      <c r="L92" s="132" t="s">
        <v>95</v>
      </c>
      <c r="M92" s="133">
        <f>M89</f>
        <v>60.12</v>
      </c>
      <c r="N92" s="132" t="s">
        <v>95</v>
      </c>
      <c r="O92" s="133">
        <f>O89</f>
        <v>60.12</v>
      </c>
      <c r="P92" s="132" t="s">
        <v>95</v>
      </c>
      <c r="Q92" s="133">
        <f>Q89</f>
        <v>60.12</v>
      </c>
      <c r="R92" s="132" t="s">
        <v>95</v>
      </c>
      <c r="S92" s="133">
        <f>S89</f>
        <v>60.12</v>
      </c>
    </row>
    <row r="93" spans="1:19">
      <c r="A93" s="304"/>
      <c r="B93" s="304"/>
      <c r="C93" s="304"/>
      <c r="D93" s="304"/>
      <c r="E93" s="304"/>
      <c r="F93" s="304"/>
      <c r="G93" s="304"/>
      <c r="H93" s="132" t="s">
        <v>85</v>
      </c>
      <c r="I93" s="133">
        <f>SUM(I90:I92)</f>
        <v>3700.77</v>
      </c>
      <c r="J93" s="132" t="s">
        <v>85</v>
      </c>
      <c r="K93" s="133">
        <f>SUM(K90:K92)</f>
        <v>3652.37</v>
      </c>
      <c r="L93" s="132" t="s">
        <v>85</v>
      </c>
      <c r="M93" s="133">
        <f>SUM(M90:M92)</f>
        <v>3689.77</v>
      </c>
      <c r="N93" s="132" t="s">
        <v>85</v>
      </c>
      <c r="O93" s="133">
        <f>SUM(O90:O92)</f>
        <v>3691.97</v>
      </c>
      <c r="P93" s="132" t="s">
        <v>85</v>
      </c>
      <c r="Q93" s="133">
        <f>SUM(Q90:Q92)</f>
        <v>3665.57</v>
      </c>
      <c r="R93" s="132" t="s">
        <v>85</v>
      </c>
      <c r="S93" s="133">
        <f>SUM(S90:S92)</f>
        <v>3691.97</v>
      </c>
    </row>
    <row r="94" spans="1:19" ht="26.25" customHeight="1">
      <c r="A94" s="37" t="s">
        <v>131</v>
      </c>
      <c r="B94" s="134"/>
      <c r="C94" s="134"/>
      <c r="D94" s="134"/>
      <c r="E94" s="134"/>
      <c r="F94" s="134"/>
      <c r="G94" s="134"/>
      <c r="H94" s="135"/>
      <c r="I94" s="136"/>
      <c r="J94" s="135"/>
      <c r="K94" s="136"/>
      <c r="L94" s="135"/>
      <c r="M94" s="136"/>
      <c r="N94" s="135"/>
      <c r="O94" s="136"/>
      <c r="P94" s="135"/>
      <c r="Q94" s="136"/>
      <c r="R94" s="135"/>
      <c r="S94" s="136"/>
    </row>
    <row r="95" spans="1:19" s="137" customFormat="1" ht="63.75" customHeight="1">
      <c r="A95" s="138" t="s">
        <v>132</v>
      </c>
      <c r="B95" s="63" t="s">
        <v>133</v>
      </c>
      <c r="C95" s="63"/>
      <c r="D95" s="63"/>
      <c r="E95" s="63"/>
      <c r="F95" s="63"/>
      <c r="G95" s="63"/>
      <c r="H95" s="67" t="s">
        <v>134</v>
      </c>
      <c r="I95" s="68" t="s">
        <v>79</v>
      </c>
      <c r="J95" s="67" t="s">
        <v>134</v>
      </c>
      <c r="K95" s="68" t="s">
        <v>79</v>
      </c>
      <c r="L95" s="67" t="s">
        <v>134</v>
      </c>
      <c r="M95" s="68" t="s">
        <v>79</v>
      </c>
      <c r="N95" s="67" t="s">
        <v>134</v>
      </c>
      <c r="O95" s="68" t="s">
        <v>79</v>
      </c>
      <c r="P95" s="67" t="s">
        <v>134</v>
      </c>
      <c r="Q95" s="68" t="s">
        <v>79</v>
      </c>
      <c r="R95" s="67" t="s">
        <v>134</v>
      </c>
      <c r="S95" s="68" t="s">
        <v>79</v>
      </c>
    </row>
    <row r="96" spans="1:19" ht="16.5" customHeight="1">
      <c r="A96" s="69" t="s">
        <v>58</v>
      </c>
      <c r="B96" s="301" t="s">
        <v>135</v>
      </c>
      <c r="C96" s="301"/>
      <c r="D96" s="301"/>
      <c r="E96" s="301"/>
      <c r="F96" s="301"/>
      <c r="G96" s="301"/>
      <c r="H96" s="139">
        <f>'DADOS BÁSICOS 4º ANO'!$H$59</f>
        <v>4.8734000000000002</v>
      </c>
      <c r="I96" s="71">
        <f>SUM(I97:I104)</f>
        <v>50.1</v>
      </c>
      <c r="J96" s="139">
        <f>'DADOS BÁSICOS 4º ANO'!$H$59</f>
        <v>4.8734000000000002</v>
      </c>
      <c r="K96" s="71">
        <f t="shared" ref="K96" si="130">SUM(K97:K104)</f>
        <v>49.45</v>
      </c>
      <c r="L96" s="139">
        <f>'DADOS BÁSICOS 4º ANO'!$H$59</f>
        <v>4.8734000000000002</v>
      </c>
      <c r="M96" s="71">
        <f t="shared" ref="M96" si="131">SUM(M97:M104)</f>
        <v>49.95</v>
      </c>
      <c r="N96" s="139">
        <f>'DADOS BÁSICOS 4º ANO'!$H$59</f>
        <v>4.8734000000000002</v>
      </c>
      <c r="O96" s="71">
        <f t="shared" ref="O96" si="132">SUM(O97:O104)</f>
        <v>49.99</v>
      </c>
      <c r="P96" s="139">
        <f>'DADOS BÁSICOS 4º ANO'!$H$59</f>
        <v>4.8734000000000002</v>
      </c>
      <c r="Q96" s="71">
        <f t="shared" ref="Q96" si="133">SUM(Q97:Q104)</f>
        <v>49.62</v>
      </c>
      <c r="R96" s="139">
        <f>'DADOS BÁSICOS 4º ANO'!$H$59</f>
        <v>4.8734000000000002</v>
      </c>
      <c r="S96" s="71">
        <f t="shared" ref="S96" si="134">SUM(S97:S104)</f>
        <v>49.99</v>
      </c>
    </row>
    <row r="97" spans="1:19" ht="16.5" customHeight="1">
      <c r="A97" s="140" t="s">
        <v>219</v>
      </c>
      <c r="B97" s="300" t="s">
        <v>211</v>
      </c>
      <c r="C97" s="300"/>
      <c r="D97" s="300"/>
      <c r="E97" s="300"/>
      <c r="F97" s="300"/>
      <c r="G97" s="300"/>
      <c r="H97" s="139">
        <f>'DADOS BÁSICOS 4º ANO'!$H$60</f>
        <v>1</v>
      </c>
      <c r="I97" s="141">
        <f>((I$93/30)*H97)/H$10</f>
        <v>10.28</v>
      </c>
      <c r="J97" s="139">
        <f>'DADOS BÁSICOS 4º ANO'!$H$60</f>
        <v>1</v>
      </c>
      <c r="K97" s="141">
        <f>((K$93/30)*J97)/J$10</f>
        <v>10.15</v>
      </c>
      <c r="L97" s="139">
        <f>'DADOS BÁSICOS 4º ANO'!$H$60</f>
        <v>1</v>
      </c>
      <c r="M97" s="141">
        <f>((M$93/30)*L97)/L$10</f>
        <v>10.25</v>
      </c>
      <c r="N97" s="139">
        <f>'DADOS BÁSICOS 4º ANO'!$H$60</f>
        <v>1</v>
      </c>
      <c r="O97" s="141">
        <f>((O$93/30)*N97)/N$10</f>
        <v>10.26</v>
      </c>
      <c r="P97" s="139">
        <f>'DADOS BÁSICOS 4º ANO'!$H$60</f>
        <v>1</v>
      </c>
      <c r="Q97" s="141">
        <f>((Q$93/30)*P97)/P$10</f>
        <v>10.18</v>
      </c>
      <c r="R97" s="139">
        <f>'DADOS BÁSICOS 4º ANO'!$H$60</f>
        <v>1</v>
      </c>
      <c r="S97" s="141">
        <f>((S$93/30)*R97)/R$10</f>
        <v>10.26</v>
      </c>
    </row>
    <row r="98" spans="1:19" ht="16.5" customHeight="1">
      <c r="A98" s="140" t="s">
        <v>221</v>
      </c>
      <c r="B98" s="300" t="s">
        <v>212</v>
      </c>
      <c r="C98" s="300"/>
      <c r="D98" s="300"/>
      <c r="E98" s="300"/>
      <c r="F98" s="300"/>
      <c r="G98" s="300"/>
      <c r="H98" s="139">
        <f>'DADOS BÁSICOS 4º ANO'!$H$61</f>
        <v>3.4929999999999999</v>
      </c>
      <c r="I98" s="141">
        <f>((I$93/30)*H98)/H$10</f>
        <v>35.909999999999997</v>
      </c>
      <c r="J98" s="139">
        <f>'DADOS BÁSICOS 4º ANO'!$H$61</f>
        <v>3.4929999999999999</v>
      </c>
      <c r="K98" s="141">
        <f>((K$93/30)*J98)/J$10</f>
        <v>35.44</v>
      </c>
      <c r="L98" s="139">
        <f>'DADOS BÁSICOS 4º ANO'!$H$61</f>
        <v>3.4929999999999999</v>
      </c>
      <c r="M98" s="141">
        <f>((M$93/30)*L98)/L$10</f>
        <v>35.799999999999997</v>
      </c>
      <c r="N98" s="139">
        <f>'DADOS BÁSICOS 4º ANO'!$H$61</f>
        <v>3.4929999999999999</v>
      </c>
      <c r="O98" s="141">
        <f>((O$93/30)*N98)/N$10</f>
        <v>35.82</v>
      </c>
      <c r="P98" s="139">
        <f>'DADOS BÁSICOS 4º ANO'!$H$61</f>
        <v>3.4929999999999999</v>
      </c>
      <c r="Q98" s="141">
        <f>((Q$93/30)*P98)/P$10</f>
        <v>35.57</v>
      </c>
      <c r="R98" s="139">
        <f>'DADOS BÁSICOS 4º ANO'!$H$61</f>
        <v>3.4929999999999999</v>
      </c>
      <c r="S98" s="141">
        <f>((S$93/30)*R98)/R$10</f>
        <v>35.82</v>
      </c>
    </row>
    <row r="99" spans="1:19" ht="16.5" customHeight="1">
      <c r="A99" s="140" t="s">
        <v>222</v>
      </c>
      <c r="B99" s="300" t="s">
        <v>213</v>
      </c>
      <c r="C99" s="300"/>
      <c r="D99" s="300"/>
      <c r="E99" s="300"/>
      <c r="F99" s="300"/>
      <c r="G99" s="300"/>
      <c r="H99" s="139">
        <f>'DADOS BÁSICOS 4º ANO'!$H$62</f>
        <v>0.26879999999999998</v>
      </c>
      <c r="I99" s="141">
        <f t="shared" ref="I99:I108" si="135">(I$93/30)*(H99/H$10)</f>
        <v>2.76</v>
      </c>
      <c r="J99" s="139">
        <f>'DADOS BÁSICOS 4º ANO'!$H$62</f>
        <v>0.26879999999999998</v>
      </c>
      <c r="K99" s="141">
        <f t="shared" ref="K99:K108" si="136">(K$93/30)*(J99/J$10)</f>
        <v>2.73</v>
      </c>
      <c r="L99" s="139">
        <f>'DADOS BÁSICOS 4º ANO'!$H$62</f>
        <v>0.26879999999999998</v>
      </c>
      <c r="M99" s="141">
        <f t="shared" ref="M99:M108" si="137">(M$93/30)*(L99/L$10)</f>
        <v>2.76</v>
      </c>
      <c r="N99" s="139">
        <f>'DADOS BÁSICOS 4º ANO'!$H$62</f>
        <v>0.26879999999999998</v>
      </c>
      <c r="O99" s="141">
        <f t="shared" ref="O99:O108" si="138">(O$93/30)*(N99/N$10)</f>
        <v>2.76</v>
      </c>
      <c r="P99" s="139">
        <f>'DADOS BÁSICOS 4º ANO'!$H$62</f>
        <v>0.26879999999999998</v>
      </c>
      <c r="Q99" s="141">
        <f t="shared" ref="Q99:Q108" si="139">(Q$93/30)*(P99/P$10)</f>
        <v>2.74</v>
      </c>
      <c r="R99" s="139">
        <f>'DADOS BÁSICOS 4º ANO'!$H$62</f>
        <v>0.26879999999999998</v>
      </c>
      <c r="S99" s="141">
        <f t="shared" ref="S99:S108" si="140">(S$93/30)*(R99/R$10)</f>
        <v>2.76</v>
      </c>
    </row>
    <row r="100" spans="1:19" ht="16.5" customHeight="1">
      <c r="A100" s="140" t="s">
        <v>228</v>
      </c>
      <c r="B100" s="300" t="s">
        <v>214</v>
      </c>
      <c r="C100" s="300"/>
      <c r="D100" s="300"/>
      <c r="E100" s="300"/>
      <c r="F100" s="300"/>
      <c r="G100" s="300"/>
      <c r="H100" s="139">
        <f>'DADOS BÁSICOS 4º ANO'!$H$63</f>
        <v>4.2599999999999999E-2</v>
      </c>
      <c r="I100" s="141">
        <f t="shared" si="135"/>
        <v>0.44</v>
      </c>
      <c r="J100" s="139">
        <f>'DADOS BÁSICOS 4º ANO'!$H$63</f>
        <v>4.2599999999999999E-2</v>
      </c>
      <c r="K100" s="141">
        <f t="shared" si="136"/>
        <v>0.43</v>
      </c>
      <c r="L100" s="139">
        <f>'DADOS BÁSICOS 4º ANO'!$H$63</f>
        <v>4.2599999999999999E-2</v>
      </c>
      <c r="M100" s="141">
        <f t="shared" si="137"/>
        <v>0.44</v>
      </c>
      <c r="N100" s="139">
        <f>'DADOS BÁSICOS 4º ANO'!$H$63</f>
        <v>4.2599999999999999E-2</v>
      </c>
      <c r="O100" s="141">
        <f t="shared" si="138"/>
        <v>0.44</v>
      </c>
      <c r="P100" s="139">
        <f>'DADOS BÁSICOS 4º ANO'!$H$63</f>
        <v>4.2599999999999999E-2</v>
      </c>
      <c r="Q100" s="141">
        <f t="shared" si="139"/>
        <v>0.43</v>
      </c>
      <c r="R100" s="139">
        <f>'DADOS BÁSICOS 4º ANO'!$H$63</f>
        <v>4.2599999999999999E-2</v>
      </c>
      <c r="S100" s="141">
        <f t="shared" si="140"/>
        <v>0.44</v>
      </c>
    </row>
    <row r="101" spans="1:19" ht="16.5" customHeight="1">
      <c r="A101" s="140" t="s">
        <v>229</v>
      </c>
      <c r="B101" s="300" t="s">
        <v>215</v>
      </c>
      <c r="C101" s="300"/>
      <c r="D101" s="300"/>
      <c r="E101" s="300"/>
      <c r="F101" s="300"/>
      <c r="G101" s="300"/>
      <c r="H101" s="139">
        <f>'DADOS BÁSICOS 4º ANO'!$H$64</f>
        <v>3.5400000000000001E-2</v>
      </c>
      <c r="I101" s="141">
        <f t="shared" si="135"/>
        <v>0.36</v>
      </c>
      <c r="J101" s="139">
        <f>'DADOS BÁSICOS 4º ANO'!$H$64</f>
        <v>3.5400000000000001E-2</v>
      </c>
      <c r="K101" s="141">
        <f t="shared" si="136"/>
        <v>0.36</v>
      </c>
      <c r="L101" s="139">
        <f>'DADOS BÁSICOS 4º ANO'!$H$64</f>
        <v>3.5400000000000001E-2</v>
      </c>
      <c r="M101" s="141">
        <f t="shared" si="137"/>
        <v>0.36</v>
      </c>
      <c r="N101" s="139">
        <f>'DADOS BÁSICOS 4º ANO'!$H$64</f>
        <v>3.5400000000000001E-2</v>
      </c>
      <c r="O101" s="141">
        <f t="shared" si="138"/>
        <v>0.36</v>
      </c>
      <c r="P101" s="139">
        <f>'DADOS BÁSICOS 4º ANO'!$H$64</f>
        <v>3.5400000000000001E-2</v>
      </c>
      <c r="Q101" s="141">
        <f t="shared" si="139"/>
        <v>0.36</v>
      </c>
      <c r="R101" s="139">
        <f>'DADOS BÁSICOS 4º ANO'!$H$64</f>
        <v>3.5400000000000001E-2</v>
      </c>
      <c r="S101" s="141">
        <f t="shared" si="140"/>
        <v>0.36</v>
      </c>
    </row>
    <row r="102" spans="1:19" ht="16.5" customHeight="1">
      <c r="A102" s="140" t="s">
        <v>230</v>
      </c>
      <c r="B102" s="300" t="s">
        <v>216</v>
      </c>
      <c r="C102" s="300"/>
      <c r="D102" s="300"/>
      <c r="E102" s="300"/>
      <c r="F102" s="300"/>
      <c r="G102" s="300"/>
      <c r="H102" s="139">
        <f>'DADOS BÁSICOS 4º ANO'!$H$65</f>
        <v>0.02</v>
      </c>
      <c r="I102" s="141">
        <f t="shared" si="135"/>
        <v>0.21</v>
      </c>
      <c r="J102" s="139">
        <f>'DADOS BÁSICOS 4º ANO'!$H$65</f>
        <v>0.02</v>
      </c>
      <c r="K102" s="141">
        <f t="shared" si="136"/>
        <v>0.2</v>
      </c>
      <c r="L102" s="139">
        <f>'DADOS BÁSICOS 4º ANO'!$H$65</f>
        <v>0.02</v>
      </c>
      <c r="M102" s="141">
        <f t="shared" si="137"/>
        <v>0.2</v>
      </c>
      <c r="N102" s="139">
        <f>'DADOS BÁSICOS 4º ANO'!$H$65</f>
        <v>0.02</v>
      </c>
      <c r="O102" s="141">
        <f t="shared" si="138"/>
        <v>0.21</v>
      </c>
      <c r="P102" s="139">
        <f>'DADOS BÁSICOS 4º ANO'!$H$65</f>
        <v>0.02</v>
      </c>
      <c r="Q102" s="141">
        <f t="shared" si="139"/>
        <v>0.2</v>
      </c>
      <c r="R102" s="139">
        <f>'DADOS BÁSICOS 4º ANO'!$H$65</f>
        <v>0.02</v>
      </c>
      <c r="S102" s="141">
        <f t="shared" si="140"/>
        <v>0.21</v>
      </c>
    </row>
    <row r="103" spans="1:19" ht="16.5" customHeight="1">
      <c r="A103" s="140" t="s">
        <v>231</v>
      </c>
      <c r="B103" s="300" t="s">
        <v>217</v>
      </c>
      <c r="C103" s="300"/>
      <c r="D103" s="300"/>
      <c r="E103" s="300"/>
      <c r="F103" s="300"/>
      <c r="G103" s="300"/>
      <c r="H103" s="139">
        <f>'DADOS BÁSICOS 4º ANO'!$H$66</f>
        <v>4.0000000000000001E-3</v>
      </c>
      <c r="I103" s="141">
        <f t="shared" si="135"/>
        <v>0.04</v>
      </c>
      <c r="J103" s="139">
        <f>'DADOS BÁSICOS 4º ANO'!$H$66</f>
        <v>4.0000000000000001E-3</v>
      </c>
      <c r="K103" s="141">
        <f t="shared" si="136"/>
        <v>0.04</v>
      </c>
      <c r="L103" s="139">
        <f>'DADOS BÁSICOS 4º ANO'!$H$66</f>
        <v>4.0000000000000001E-3</v>
      </c>
      <c r="M103" s="141">
        <f t="shared" si="137"/>
        <v>0.04</v>
      </c>
      <c r="N103" s="139">
        <f>'DADOS BÁSICOS 4º ANO'!$H$66</f>
        <v>4.0000000000000001E-3</v>
      </c>
      <c r="O103" s="141">
        <f t="shared" si="138"/>
        <v>0.04</v>
      </c>
      <c r="P103" s="139">
        <f>'DADOS BÁSICOS 4º ANO'!$H$66</f>
        <v>4.0000000000000001E-3</v>
      </c>
      <c r="Q103" s="141">
        <f t="shared" si="139"/>
        <v>0.04</v>
      </c>
      <c r="R103" s="139">
        <f>'DADOS BÁSICOS 4º ANO'!$H$66</f>
        <v>4.0000000000000001E-3</v>
      </c>
      <c r="S103" s="141">
        <f t="shared" si="140"/>
        <v>0.04</v>
      </c>
    </row>
    <row r="104" spans="1:19" ht="16.5" customHeight="1">
      <c r="A104" s="140" t="s">
        <v>232</v>
      </c>
      <c r="B104" s="300" t="s">
        <v>218</v>
      </c>
      <c r="C104" s="300"/>
      <c r="D104" s="300"/>
      <c r="E104" s="300"/>
      <c r="F104" s="300"/>
      <c r="G104" s="300"/>
      <c r="H104" s="139">
        <f>'DADOS BÁSICOS 4º ANO'!$H$67</f>
        <v>9.5999999999999992E-3</v>
      </c>
      <c r="I104" s="141">
        <f t="shared" si="135"/>
        <v>0.1</v>
      </c>
      <c r="J104" s="139">
        <f>'DADOS BÁSICOS 4º ANO'!$H$67</f>
        <v>9.5999999999999992E-3</v>
      </c>
      <c r="K104" s="141">
        <f t="shared" si="136"/>
        <v>0.1</v>
      </c>
      <c r="L104" s="139">
        <f>'DADOS BÁSICOS 4º ANO'!$H$67</f>
        <v>9.5999999999999992E-3</v>
      </c>
      <c r="M104" s="141">
        <f t="shared" si="137"/>
        <v>0.1</v>
      </c>
      <c r="N104" s="139">
        <f>'DADOS BÁSICOS 4º ANO'!$H$67</f>
        <v>9.5999999999999992E-3</v>
      </c>
      <c r="O104" s="141">
        <f t="shared" si="138"/>
        <v>0.1</v>
      </c>
      <c r="P104" s="139">
        <f>'DADOS BÁSICOS 4º ANO'!$H$67</f>
        <v>9.5999999999999992E-3</v>
      </c>
      <c r="Q104" s="141">
        <f t="shared" si="139"/>
        <v>0.1</v>
      </c>
      <c r="R104" s="139">
        <f>'DADOS BÁSICOS 4º ANO'!$H$67</f>
        <v>9.5999999999999992E-3</v>
      </c>
      <c r="S104" s="141">
        <f t="shared" si="140"/>
        <v>0.1</v>
      </c>
    </row>
    <row r="105" spans="1:19" ht="16.5" customHeight="1">
      <c r="A105" s="69" t="s">
        <v>60</v>
      </c>
      <c r="B105" s="301" t="s">
        <v>136</v>
      </c>
      <c r="C105" s="301"/>
      <c r="D105" s="301"/>
      <c r="E105" s="301"/>
      <c r="F105" s="301"/>
      <c r="G105" s="301"/>
      <c r="H105" s="139">
        <f>'DADOS BÁSICOS 4º ANO'!$H$68</f>
        <v>0.19980000000000001</v>
      </c>
      <c r="I105" s="71">
        <f t="shared" si="135"/>
        <v>2.0499999999999998</v>
      </c>
      <c r="J105" s="139">
        <f>'DADOS BÁSICOS 4º ANO'!$H$68</f>
        <v>0.19980000000000001</v>
      </c>
      <c r="K105" s="71">
        <f t="shared" si="136"/>
        <v>2.0299999999999998</v>
      </c>
      <c r="L105" s="139">
        <f>'DADOS BÁSICOS 4º ANO'!$H$68</f>
        <v>0.19980000000000001</v>
      </c>
      <c r="M105" s="71">
        <f t="shared" si="137"/>
        <v>2.0499999999999998</v>
      </c>
      <c r="N105" s="139">
        <f>'DADOS BÁSICOS 4º ANO'!$H$68</f>
        <v>0.19980000000000001</v>
      </c>
      <c r="O105" s="71">
        <f t="shared" si="138"/>
        <v>2.0499999999999998</v>
      </c>
      <c r="P105" s="139">
        <f>'DADOS BÁSICOS 4º ANO'!$H$68</f>
        <v>0.19980000000000001</v>
      </c>
      <c r="Q105" s="71">
        <f t="shared" si="139"/>
        <v>2.0299999999999998</v>
      </c>
      <c r="R105" s="139">
        <f>'DADOS BÁSICOS 4º ANO'!$H$68</f>
        <v>0.19980000000000001</v>
      </c>
      <c r="S105" s="71">
        <f t="shared" si="140"/>
        <v>2.0499999999999998</v>
      </c>
    </row>
    <row r="106" spans="1:19" ht="16.5" customHeight="1">
      <c r="A106" s="69" t="s">
        <v>62</v>
      </c>
      <c r="B106" s="301" t="s">
        <v>137</v>
      </c>
      <c r="C106" s="301"/>
      <c r="D106" s="301"/>
      <c r="E106" s="301"/>
      <c r="F106" s="301"/>
      <c r="G106" s="301"/>
      <c r="H106" s="139">
        <f>'DADOS BÁSICOS 4º ANO'!$H$69</f>
        <v>0.96619999999999995</v>
      </c>
      <c r="I106" s="71">
        <f t="shared" si="135"/>
        <v>9.93</v>
      </c>
      <c r="J106" s="139">
        <f>'DADOS BÁSICOS 4º ANO'!$H$69</f>
        <v>0.96619999999999995</v>
      </c>
      <c r="K106" s="71">
        <f t="shared" si="136"/>
        <v>9.8000000000000007</v>
      </c>
      <c r="L106" s="139">
        <f>'DADOS BÁSICOS 4º ANO'!$H$69</f>
        <v>0.96619999999999995</v>
      </c>
      <c r="M106" s="71">
        <f t="shared" si="137"/>
        <v>9.9</v>
      </c>
      <c r="N106" s="139">
        <f>'DADOS BÁSICOS 4º ANO'!$H$69</f>
        <v>0.96619999999999995</v>
      </c>
      <c r="O106" s="71">
        <f t="shared" si="138"/>
        <v>9.91</v>
      </c>
      <c r="P106" s="139">
        <f>'DADOS BÁSICOS 4º ANO'!$H$69</f>
        <v>0.96619999999999995</v>
      </c>
      <c r="Q106" s="71">
        <f t="shared" si="139"/>
        <v>9.84</v>
      </c>
      <c r="R106" s="139">
        <f>'DADOS BÁSICOS 4º ANO'!$H$69</f>
        <v>0.96619999999999995</v>
      </c>
      <c r="S106" s="71">
        <f t="shared" si="140"/>
        <v>9.91</v>
      </c>
    </row>
    <row r="107" spans="1:19" ht="16.5" customHeight="1">
      <c r="A107" s="69" t="s">
        <v>64</v>
      </c>
      <c r="B107" s="301" t="s">
        <v>138</v>
      </c>
      <c r="C107" s="301"/>
      <c r="D107" s="301"/>
      <c r="E107" s="301"/>
      <c r="F107" s="301"/>
      <c r="G107" s="301"/>
      <c r="H107" s="139">
        <f>'DADOS BÁSICOS 4º ANO'!$H$70</f>
        <v>2.4771999999999998</v>
      </c>
      <c r="I107" s="71">
        <f t="shared" si="135"/>
        <v>25.47</v>
      </c>
      <c r="J107" s="139">
        <f>'DADOS BÁSICOS 4º ANO'!$H$70</f>
        <v>2.4771999999999998</v>
      </c>
      <c r="K107" s="71">
        <f t="shared" si="136"/>
        <v>25.13</v>
      </c>
      <c r="L107" s="139">
        <f>'DADOS BÁSICOS 4º ANO'!$H$70</f>
        <v>2.4771999999999998</v>
      </c>
      <c r="M107" s="71">
        <f t="shared" si="137"/>
        <v>25.39</v>
      </c>
      <c r="N107" s="139">
        <f>'DADOS BÁSICOS 4º ANO'!$H$70</f>
        <v>2.4771999999999998</v>
      </c>
      <c r="O107" s="71">
        <f t="shared" si="138"/>
        <v>25.4</v>
      </c>
      <c r="P107" s="139">
        <f>'DADOS BÁSICOS 4º ANO'!$H$70</f>
        <v>2.4771999999999998</v>
      </c>
      <c r="Q107" s="71">
        <f t="shared" si="139"/>
        <v>25.22</v>
      </c>
      <c r="R107" s="139">
        <f>'DADOS BÁSICOS 4º ANO'!$H$70</f>
        <v>2.4771999999999998</v>
      </c>
      <c r="S107" s="71">
        <f t="shared" si="140"/>
        <v>25.4</v>
      </c>
    </row>
    <row r="108" spans="1:19" ht="16.5" customHeight="1">
      <c r="A108" s="41" t="s">
        <v>66</v>
      </c>
      <c r="B108" s="301" t="s">
        <v>139</v>
      </c>
      <c r="C108" s="301"/>
      <c r="D108" s="301"/>
      <c r="E108" s="301"/>
      <c r="F108" s="301"/>
      <c r="G108" s="301"/>
      <c r="H108" s="139">
        <f>'DADOS BÁSICOS 4º ANO'!$H$71</f>
        <v>0</v>
      </c>
      <c r="I108" s="71">
        <f t="shared" si="135"/>
        <v>0</v>
      </c>
      <c r="J108" s="139">
        <f>'DADOS BÁSICOS 4º ANO'!$H$71</f>
        <v>0</v>
      </c>
      <c r="K108" s="71">
        <f t="shared" si="136"/>
        <v>0</v>
      </c>
      <c r="L108" s="139">
        <f>'DADOS BÁSICOS 4º ANO'!$H$71</f>
        <v>0</v>
      </c>
      <c r="M108" s="71">
        <f t="shared" si="137"/>
        <v>0</v>
      </c>
      <c r="N108" s="139">
        <f>'DADOS BÁSICOS 4º ANO'!$H$71</f>
        <v>0</v>
      </c>
      <c r="O108" s="71">
        <f t="shared" si="138"/>
        <v>0</v>
      </c>
      <c r="P108" s="139">
        <f>'DADOS BÁSICOS 4º ANO'!$H$71</f>
        <v>0</v>
      </c>
      <c r="Q108" s="71">
        <f t="shared" si="139"/>
        <v>0</v>
      </c>
      <c r="R108" s="139">
        <f>'DADOS BÁSICOS 4º ANO'!$H$71</f>
        <v>0</v>
      </c>
      <c r="S108" s="71">
        <f t="shared" si="140"/>
        <v>0</v>
      </c>
    </row>
    <row r="109" spans="1:19">
      <c r="A109" s="287" t="s">
        <v>85</v>
      </c>
      <c r="B109" s="287"/>
      <c r="C109" s="287"/>
      <c r="D109" s="287"/>
      <c r="E109" s="287"/>
      <c r="F109" s="287"/>
      <c r="G109" s="287"/>
      <c r="H109" s="142">
        <f>H96+H105+H106+H107+H108</f>
        <v>8.5166000000000004</v>
      </c>
      <c r="I109" s="80">
        <f>I96+I105+I106+I107+I108</f>
        <v>87.55</v>
      </c>
      <c r="J109" s="142">
        <f>$H109</f>
        <v>8.5166000000000004</v>
      </c>
      <c r="K109" s="80">
        <f>K96+K105+K106+K107+K108</f>
        <v>86.41</v>
      </c>
      <c r="L109" s="142">
        <f>$H109</f>
        <v>8.5166000000000004</v>
      </c>
      <c r="M109" s="80">
        <f>M96+M105+M106+M107+M108</f>
        <v>87.29</v>
      </c>
      <c r="N109" s="142">
        <f>$H109</f>
        <v>8.5166000000000004</v>
      </c>
      <c r="O109" s="80">
        <f>O96+O105+O106+O107+O108</f>
        <v>87.35</v>
      </c>
      <c r="P109" s="142">
        <f>$H109</f>
        <v>8.5166000000000004</v>
      </c>
      <c r="Q109" s="80">
        <f>Q96+Q105+Q106+Q107+Q108</f>
        <v>86.71</v>
      </c>
      <c r="R109" s="142">
        <f>$H109</f>
        <v>8.5166000000000004</v>
      </c>
      <c r="S109" s="80">
        <f>S96+S105+S106+S107+S108</f>
        <v>87.35</v>
      </c>
    </row>
    <row r="110" spans="1:19">
      <c r="A110" s="143" t="s">
        <v>140</v>
      </c>
      <c r="B110" s="290" t="s">
        <v>141</v>
      </c>
      <c r="C110" s="290"/>
      <c r="D110" s="290"/>
      <c r="E110" s="290"/>
      <c r="F110" s="290"/>
      <c r="G110" s="290"/>
      <c r="H110" s="144"/>
      <c r="I110" s="145" t="s">
        <v>79</v>
      </c>
      <c r="J110" s="144"/>
      <c r="K110" s="145" t="s">
        <v>79</v>
      </c>
      <c r="L110" s="144"/>
      <c r="M110" s="145" t="s">
        <v>79</v>
      </c>
      <c r="N110" s="144"/>
      <c r="O110" s="145" t="s">
        <v>79</v>
      </c>
      <c r="P110" s="144"/>
      <c r="Q110" s="145" t="s">
        <v>79</v>
      </c>
      <c r="R110" s="144"/>
      <c r="S110" s="145" t="s">
        <v>79</v>
      </c>
    </row>
    <row r="111" spans="1:19" ht="16.5" customHeight="1">
      <c r="A111" s="69" t="s">
        <v>58</v>
      </c>
      <c r="B111" s="286" t="s">
        <v>142</v>
      </c>
      <c r="C111" s="286"/>
      <c r="D111" s="286"/>
      <c r="E111" s="286"/>
      <c r="F111" s="286"/>
      <c r="G111" s="286"/>
      <c r="H111" s="48"/>
      <c r="I111" s="146">
        <v>0</v>
      </c>
      <c r="J111" s="48"/>
      <c r="K111" s="146">
        <v>0</v>
      </c>
      <c r="L111" s="48"/>
      <c r="M111" s="146">
        <v>0</v>
      </c>
      <c r="N111" s="48"/>
      <c r="O111" s="146">
        <v>0</v>
      </c>
      <c r="P111" s="48"/>
      <c r="Q111" s="146">
        <v>0</v>
      </c>
      <c r="R111" s="48"/>
      <c r="S111" s="146">
        <v>0</v>
      </c>
    </row>
    <row r="112" spans="1:19">
      <c r="A112" s="287" t="s">
        <v>85</v>
      </c>
      <c r="B112" s="287"/>
      <c r="C112" s="287"/>
      <c r="D112" s="287"/>
      <c r="E112" s="287"/>
      <c r="F112" s="287"/>
      <c r="G112" s="287"/>
      <c r="H112" s="113"/>
      <c r="I112" s="147">
        <f>SUM(I111:I111)</f>
        <v>0</v>
      </c>
      <c r="J112" s="113"/>
      <c r="K112" s="147">
        <f>SUM(K111:K111)</f>
        <v>0</v>
      </c>
      <c r="L112" s="113"/>
      <c r="M112" s="147">
        <f>SUM(M111:M111)</f>
        <v>0</v>
      </c>
      <c r="N112" s="113"/>
      <c r="O112" s="147">
        <f>SUM(O111:O111)</f>
        <v>0</v>
      </c>
      <c r="P112" s="113"/>
      <c r="Q112" s="147">
        <f>SUM(Q111:Q111)</f>
        <v>0</v>
      </c>
      <c r="R112" s="113"/>
      <c r="S112" s="147">
        <f>SUM(S111:S111)</f>
        <v>0</v>
      </c>
    </row>
    <row r="113" spans="1:20" ht="21.75" customHeight="1">
      <c r="A113" s="37" t="s">
        <v>143</v>
      </c>
      <c r="B113" s="63"/>
      <c r="C113" s="63"/>
      <c r="D113" s="63"/>
      <c r="E113" s="63"/>
      <c r="F113" s="63"/>
      <c r="G113" s="63"/>
      <c r="H113" s="64"/>
      <c r="I113" s="65"/>
      <c r="J113" s="64"/>
      <c r="K113" s="65"/>
      <c r="L113" s="64"/>
      <c r="M113" s="65"/>
      <c r="N113" s="64"/>
      <c r="O113" s="65"/>
      <c r="P113" s="64"/>
      <c r="Q113" s="65"/>
      <c r="R113" s="64"/>
      <c r="S113" s="65"/>
    </row>
    <row r="114" spans="1:20" ht="12.75" customHeight="1">
      <c r="A114" s="66">
        <v>4</v>
      </c>
      <c r="B114" s="288" t="s">
        <v>144</v>
      </c>
      <c r="C114" s="288"/>
      <c r="D114" s="288"/>
      <c r="E114" s="288"/>
      <c r="F114" s="288"/>
      <c r="G114" s="288"/>
      <c r="H114" s="148"/>
      <c r="I114" s="68" t="s">
        <v>79</v>
      </c>
      <c r="J114" s="148"/>
      <c r="K114" s="68" t="s">
        <v>79</v>
      </c>
      <c r="L114" s="148"/>
      <c r="M114" s="68" t="s">
        <v>79</v>
      </c>
      <c r="N114" s="148"/>
      <c r="O114" s="68" t="s">
        <v>79</v>
      </c>
      <c r="P114" s="148"/>
      <c r="Q114" s="68" t="s">
        <v>79</v>
      </c>
      <c r="R114" s="148"/>
      <c r="S114" s="68" t="s">
        <v>79</v>
      </c>
    </row>
    <row r="115" spans="1:20" ht="12.75" customHeight="1">
      <c r="A115" s="85" t="s">
        <v>132</v>
      </c>
      <c r="B115" s="284" t="s">
        <v>133</v>
      </c>
      <c r="C115" s="284"/>
      <c r="D115" s="284"/>
      <c r="E115" s="284"/>
      <c r="F115" s="284"/>
      <c r="G115" s="284"/>
      <c r="H115" s="149"/>
      <c r="I115" s="71">
        <f>I109</f>
        <v>87.55</v>
      </c>
      <c r="J115" s="149"/>
      <c r="K115" s="71">
        <f>K109</f>
        <v>86.41</v>
      </c>
      <c r="L115" s="149"/>
      <c r="M115" s="71">
        <f>M109</f>
        <v>87.29</v>
      </c>
      <c r="N115" s="149"/>
      <c r="O115" s="71">
        <f>O109</f>
        <v>87.35</v>
      </c>
      <c r="P115" s="149"/>
      <c r="Q115" s="71">
        <f>Q109</f>
        <v>86.71</v>
      </c>
      <c r="R115" s="149"/>
      <c r="S115" s="71">
        <f>S109</f>
        <v>87.35</v>
      </c>
    </row>
    <row r="116" spans="1:20" ht="12.75" customHeight="1">
      <c r="A116" s="85" t="s">
        <v>140</v>
      </c>
      <c r="B116" s="299" t="s">
        <v>145</v>
      </c>
      <c r="C116" s="299"/>
      <c r="D116" s="299"/>
      <c r="E116" s="299"/>
      <c r="F116" s="299"/>
      <c r="G116" s="299"/>
      <c r="H116" s="150"/>
      <c r="I116" s="71">
        <f>I112</f>
        <v>0</v>
      </c>
      <c r="J116" s="150"/>
      <c r="K116" s="71">
        <f>K112</f>
        <v>0</v>
      </c>
      <c r="L116" s="150"/>
      <c r="M116" s="71">
        <f>M112</f>
        <v>0</v>
      </c>
      <c r="N116" s="150"/>
      <c r="O116" s="71">
        <f>O112</f>
        <v>0</v>
      </c>
      <c r="P116" s="150"/>
      <c r="Q116" s="71">
        <f>Q112</f>
        <v>0</v>
      </c>
      <c r="R116" s="150"/>
      <c r="S116" s="71">
        <f>S112</f>
        <v>0</v>
      </c>
    </row>
    <row r="117" spans="1:20">
      <c r="A117" s="298" t="s">
        <v>85</v>
      </c>
      <c r="B117" s="298"/>
      <c r="C117" s="298"/>
      <c r="D117" s="298"/>
      <c r="E117" s="298"/>
      <c r="F117" s="298"/>
      <c r="G117" s="298"/>
      <c r="H117" s="151"/>
      <c r="I117" s="80">
        <f>SUM(I115:I116)</f>
        <v>87.55</v>
      </c>
      <c r="J117" s="151"/>
      <c r="K117" s="80">
        <f>SUM(K115:K116)</f>
        <v>86.41</v>
      </c>
      <c r="L117" s="151"/>
      <c r="M117" s="80">
        <f>SUM(M115:M116)</f>
        <v>87.29</v>
      </c>
      <c r="N117" s="151"/>
      <c r="O117" s="80">
        <f>SUM(O115:O116)</f>
        <v>87.35</v>
      </c>
      <c r="P117" s="151"/>
      <c r="Q117" s="80">
        <f>SUM(Q115:Q116)</f>
        <v>86.71</v>
      </c>
      <c r="R117" s="151"/>
      <c r="S117" s="80">
        <f>SUM(S115:S116)</f>
        <v>87.35</v>
      </c>
    </row>
    <row r="118" spans="1:20" ht="18.75" customHeight="1">
      <c r="A118" s="37" t="s">
        <v>146</v>
      </c>
      <c r="B118" s="38"/>
      <c r="C118" s="38"/>
      <c r="D118" s="38"/>
      <c r="E118" s="38"/>
      <c r="F118" s="38"/>
      <c r="G118" s="38"/>
      <c r="H118" s="39"/>
      <c r="I118" s="40"/>
      <c r="J118" s="39"/>
      <c r="K118" s="40"/>
      <c r="L118" s="39"/>
      <c r="M118" s="40"/>
      <c r="N118" s="39"/>
      <c r="O118" s="40"/>
      <c r="P118" s="39"/>
      <c r="Q118" s="40"/>
      <c r="R118" s="39"/>
      <c r="S118" s="40"/>
    </row>
    <row r="119" spans="1:20" ht="12.75" customHeight="1">
      <c r="A119" s="66">
        <v>5</v>
      </c>
      <c r="B119" s="288" t="s">
        <v>147</v>
      </c>
      <c r="C119" s="288"/>
      <c r="D119" s="288"/>
      <c r="E119" s="288"/>
      <c r="F119" s="288"/>
      <c r="G119" s="288"/>
      <c r="H119" s="148"/>
      <c r="I119" s="68" t="s">
        <v>79</v>
      </c>
      <c r="J119" s="148"/>
      <c r="K119" s="68" t="s">
        <v>79</v>
      </c>
      <c r="L119" s="148"/>
      <c r="M119" s="68" t="s">
        <v>79</v>
      </c>
      <c r="N119" s="148"/>
      <c r="O119" s="68" t="s">
        <v>79</v>
      </c>
      <c r="P119" s="148"/>
      <c r="Q119" s="68" t="s">
        <v>79</v>
      </c>
      <c r="R119" s="148"/>
      <c r="S119" s="68" t="s">
        <v>79</v>
      </c>
    </row>
    <row r="120" spans="1:20" ht="15" customHeight="1">
      <c r="A120" s="154" t="s">
        <v>58</v>
      </c>
      <c r="B120" s="295" t="s">
        <v>40</v>
      </c>
      <c r="C120" s="295"/>
      <c r="D120" s="295"/>
      <c r="E120" s="295"/>
      <c r="F120" s="295"/>
      <c r="G120" s="295"/>
      <c r="H120" s="149"/>
      <c r="I120" s="71">
        <f>SUM(I121:I123)</f>
        <v>41.03</v>
      </c>
      <c r="J120" s="149"/>
      <c r="K120" s="71">
        <f t="shared" ref="K120" si="141">SUM(K121:K123)</f>
        <v>53.41</v>
      </c>
      <c r="L120" s="149"/>
      <c r="M120" s="71">
        <f t="shared" ref="M120" si="142">SUM(M121:M123)</f>
        <v>43.24</v>
      </c>
      <c r="N120" s="149"/>
      <c r="O120" s="71">
        <f t="shared" ref="O120" si="143">SUM(O121:O123)</f>
        <v>44.52</v>
      </c>
      <c r="P120" s="149"/>
      <c r="Q120" s="71">
        <f t="shared" ref="Q120" si="144">SUM(Q121:Q123)</f>
        <v>47.49</v>
      </c>
      <c r="R120" s="149"/>
      <c r="S120" s="71">
        <f t="shared" ref="S120" si="145">SUM(S121:S123)</f>
        <v>53.41</v>
      </c>
      <c r="T120" s="153"/>
    </row>
    <row r="121" spans="1:20" ht="15" customHeight="1">
      <c r="A121" s="155" t="s">
        <v>219</v>
      </c>
      <c r="B121" s="286" t="s">
        <v>220</v>
      </c>
      <c r="C121" s="286"/>
      <c r="D121" s="286"/>
      <c r="E121" s="286"/>
      <c r="F121" s="286"/>
      <c r="G121" s="286"/>
      <c r="H121" s="149"/>
      <c r="I121" s="71">
        <f>'DADOS BÁSICOS 4º ANO'!$D$46</f>
        <v>35.61</v>
      </c>
      <c r="J121" s="149"/>
      <c r="K121" s="71">
        <f>'DADOS BÁSICOS 4º ANO'!$D$46</f>
        <v>35.61</v>
      </c>
      <c r="L121" s="149"/>
      <c r="M121" s="71">
        <f>'DADOS BÁSICOS 4º ANO'!$D$46</f>
        <v>35.61</v>
      </c>
      <c r="N121" s="149"/>
      <c r="O121" s="71">
        <f>'DADOS BÁSICOS 4º ANO'!$D$46</f>
        <v>35.61</v>
      </c>
      <c r="P121" s="149"/>
      <c r="Q121" s="71">
        <f>'DADOS BÁSICOS 4º ANO'!$D$46</f>
        <v>35.61</v>
      </c>
      <c r="R121" s="149"/>
      <c r="S121" s="71">
        <f>'DADOS BÁSICOS 4º ANO'!$D$46</f>
        <v>35.61</v>
      </c>
      <c r="T121" s="153"/>
    </row>
    <row r="122" spans="1:20" ht="15" customHeight="1">
      <c r="A122" s="158" t="s">
        <v>221</v>
      </c>
      <c r="B122" s="296" t="s">
        <v>223</v>
      </c>
      <c r="C122" s="296"/>
      <c r="D122" s="296"/>
      <c r="E122" s="296"/>
      <c r="F122" s="296"/>
      <c r="G122" s="296"/>
      <c r="H122" s="159">
        <f>(ROUNDUP(((H109*H11)/(365*0.6986)),0))/H11</f>
        <v>4.3499999999999997E-2</v>
      </c>
      <c r="I122" s="249">
        <f>'DADOS BÁSICOS 4º ANO'!$D$46*H122</f>
        <v>1.55</v>
      </c>
      <c r="J122" s="159">
        <f t="shared" ref="J122" si="146">(ROUNDUP(((J109*J11)/(365*0.6986)),0))/J11</f>
        <v>0.25</v>
      </c>
      <c r="K122" s="249">
        <f>'DADOS BÁSICOS 4º ANO'!$D$46*J122</f>
        <v>8.9</v>
      </c>
      <c r="L122" s="159">
        <f t="shared" ref="L122" si="147">(ROUNDUP(((L109*L11)/(365*0.6986)),0))/L11</f>
        <v>7.1400000000000005E-2</v>
      </c>
      <c r="M122" s="249">
        <f>'DADOS BÁSICOS 4º ANO'!$D$46*L122</f>
        <v>2.54</v>
      </c>
      <c r="N122" s="159">
        <f t="shared" ref="N122" si="148">(ROUNDUP(((N109*N11)/(365*0.6986)),0))/N11</f>
        <v>8.3299999999999999E-2</v>
      </c>
      <c r="O122" s="249">
        <f>'DADOS BÁSICOS 4º ANO'!$D$46*N122</f>
        <v>2.97</v>
      </c>
      <c r="P122" s="159">
        <f t="shared" ref="P122" si="149">(ROUNDUP(((P109*P11)/(365*0.6986)),0))/P11</f>
        <v>0.16669999999999999</v>
      </c>
      <c r="Q122" s="249">
        <f>'DADOS BÁSICOS 4º ANO'!$D$46*P122</f>
        <v>5.94</v>
      </c>
      <c r="R122" s="159">
        <f t="shared" ref="R122" si="150">(ROUNDUP(((R109*R11)/(365*0.6986)),0))/R11</f>
        <v>0.25</v>
      </c>
      <c r="S122" s="249">
        <f>'DADOS BÁSICOS 4º ANO'!$D$46*R122</f>
        <v>8.9</v>
      </c>
      <c r="T122" s="153"/>
    </row>
    <row r="123" spans="1:20" ht="15" customHeight="1">
      <c r="A123" s="108" t="s">
        <v>222</v>
      </c>
      <c r="B123" s="297" t="s">
        <v>209</v>
      </c>
      <c r="C123" s="297"/>
      <c r="D123" s="297"/>
      <c r="E123" s="297"/>
      <c r="F123" s="297"/>
      <c r="G123" s="297"/>
      <c r="H123" s="161">
        <f>((ROUNDUP((H11/11),0))/H11)</f>
        <v>0.1087</v>
      </c>
      <c r="I123" s="250">
        <f>'DADOS BÁSICOS 4º ANO'!$D$46*H123</f>
        <v>3.87</v>
      </c>
      <c r="J123" s="161">
        <f t="shared" ref="J123" si="151">((ROUNDUP((J11/11),0))/J11)</f>
        <v>0.25</v>
      </c>
      <c r="K123" s="250">
        <f>'DADOS BÁSICOS 4º ANO'!$D$46*J123</f>
        <v>8.9</v>
      </c>
      <c r="L123" s="161">
        <f t="shared" ref="L123" si="152">((ROUNDUP((L11/11),0))/L11)</f>
        <v>0.1429</v>
      </c>
      <c r="M123" s="250">
        <f>'DADOS BÁSICOS 4º ANO'!$D$46*L123</f>
        <v>5.09</v>
      </c>
      <c r="N123" s="161">
        <f t="shared" ref="N123" si="153">((ROUNDUP((N11/11),0))/N11)</f>
        <v>0.16669999999999999</v>
      </c>
      <c r="O123" s="250">
        <f>'DADOS BÁSICOS 4º ANO'!$D$46*N123</f>
        <v>5.94</v>
      </c>
      <c r="P123" s="161">
        <f t="shared" ref="P123" si="154">((ROUNDUP((P11/11),0))/P11)</f>
        <v>0.16669999999999999</v>
      </c>
      <c r="Q123" s="250">
        <f>'DADOS BÁSICOS 4º ANO'!$D$46*P123</f>
        <v>5.94</v>
      </c>
      <c r="R123" s="161">
        <f t="shared" ref="R123" si="155">((ROUNDUP((R11/11),0))/R11)</f>
        <v>0.25</v>
      </c>
      <c r="S123" s="250">
        <f>'DADOS BÁSICOS 4º ANO'!$D$46*R123</f>
        <v>8.9</v>
      </c>
      <c r="T123" s="153"/>
    </row>
    <row r="124" spans="1:20" ht="12.75" customHeight="1">
      <c r="A124" s="154" t="s">
        <v>60</v>
      </c>
      <c r="B124" s="295" t="s">
        <v>44</v>
      </c>
      <c r="C124" s="295"/>
      <c r="D124" s="295"/>
      <c r="E124" s="295"/>
      <c r="F124" s="295"/>
      <c r="G124" s="295"/>
      <c r="H124" s="149"/>
      <c r="I124" s="163">
        <f>'DADOS BÁSICOS 4º ANO'!$D$50/H10</f>
        <v>0</v>
      </c>
      <c r="J124" s="149"/>
      <c r="K124" s="163">
        <f>'DADOS BÁSICOS 4º ANO'!$D$50/J10</f>
        <v>0</v>
      </c>
      <c r="L124" s="149"/>
      <c r="M124" s="163">
        <f>'DADOS BÁSICOS 4º ANO'!$D$50/L10</f>
        <v>0</v>
      </c>
      <c r="N124" s="149"/>
      <c r="O124" s="163">
        <f>'DADOS BÁSICOS 4º ANO'!$D$50/N10</f>
        <v>0</v>
      </c>
      <c r="P124" s="149"/>
      <c r="Q124" s="163">
        <f>'DADOS BÁSICOS 4º ANO'!$D$50/P10</f>
        <v>0</v>
      </c>
      <c r="R124" s="149"/>
      <c r="S124" s="163">
        <f>'DADOS BÁSICOS 4º ANO'!$D$50/R10</f>
        <v>0</v>
      </c>
      <c r="T124" s="153"/>
    </row>
    <row r="125" spans="1:20" ht="16.5" customHeight="1">
      <c r="A125" s="154" t="s">
        <v>62</v>
      </c>
      <c r="B125" s="295" t="s">
        <v>47</v>
      </c>
      <c r="C125" s="295"/>
      <c r="D125" s="295"/>
      <c r="E125" s="295"/>
      <c r="F125" s="295"/>
      <c r="G125" s="295"/>
      <c r="H125" s="149"/>
      <c r="I125" s="163">
        <f>SUM(I126:I128)</f>
        <v>0.24</v>
      </c>
      <c r="J125" s="149"/>
      <c r="K125" s="163">
        <f t="shared" ref="K125" si="156">SUM(K126:K128)</f>
        <v>2.0699999999999998</v>
      </c>
      <c r="L125" s="149"/>
      <c r="M125" s="163">
        <f t="shared" ref="M125" si="157">SUM(M126:M128)</f>
        <v>0.79</v>
      </c>
      <c r="N125" s="149"/>
      <c r="O125" s="163">
        <f t="shared" ref="O125" si="158">SUM(O126:O128)</f>
        <v>0.9</v>
      </c>
      <c r="P125" s="149"/>
      <c r="Q125" s="163">
        <f t="shared" ref="Q125" si="159">SUM(Q126:Q128)</f>
        <v>1.64</v>
      </c>
      <c r="R125" s="149"/>
      <c r="S125" s="163">
        <f t="shared" ref="S125" si="160">SUM(S126:S128)</f>
        <v>2.0699999999999998</v>
      </c>
      <c r="T125" s="164"/>
    </row>
    <row r="126" spans="1:20" ht="12.75" customHeight="1">
      <c r="A126" s="69" t="s">
        <v>224</v>
      </c>
      <c r="B126" s="286" t="s">
        <v>226</v>
      </c>
      <c r="C126" s="286"/>
      <c r="D126" s="286"/>
      <c r="E126" s="286"/>
      <c r="F126" s="286"/>
      <c r="G126" s="286"/>
      <c r="H126" s="149"/>
      <c r="I126" s="163">
        <f>('DADOS BÁSICOS 4º ANO'!$G$54/'DADOS BÁSICOS 4º ANO'!$C$54)/(H$11+'TELEFONISTA 4º ANO'!$H$11)</f>
        <v>0.28999999999999998</v>
      </c>
      <c r="J126" s="149"/>
      <c r="K126" s="163">
        <f>('DADOS BÁSICOS 4º ANO'!$G$54/'DADOS BÁSICOS 4º ANO'!$C$54)/J$11</f>
        <v>3.45</v>
      </c>
      <c r="L126" s="149"/>
      <c r="M126" s="163">
        <f>('DADOS BÁSICOS 4º ANO'!$G$54/'DADOS BÁSICOS 4º ANO'!$C$54)/L$11</f>
        <v>0.99</v>
      </c>
      <c r="N126" s="149"/>
      <c r="O126" s="163">
        <f>('DADOS BÁSICOS 4º ANO'!$G$54/'DADOS BÁSICOS 4º ANO'!$C$54)/N$11</f>
        <v>1.1499999999999999</v>
      </c>
      <c r="P126" s="149"/>
      <c r="Q126" s="163">
        <f>('DADOS BÁSICOS 4º ANO'!$G$54/'DADOS BÁSICOS 4º ANO'!$C$54)/P$11</f>
        <v>2.2999999999999998</v>
      </c>
      <c r="R126" s="149"/>
      <c r="S126" s="163">
        <f>('DADOS BÁSICOS 4º ANO'!$G$54/'DADOS BÁSICOS 4º ANO'!$C$54)/R$11</f>
        <v>3.45</v>
      </c>
      <c r="T126" s="164"/>
    </row>
    <row r="127" spans="1:20" ht="12.75" customHeight="1">
      <c r="A127" s="158" t="s">
        <v>225</v>
      </c>
      <c r="B127" s="296" t="s">
        <v>227</v>
      </c>
      <c r="C127" s="296"/>
      <c r="D127" s="296"/>
      <c r="E127" s="296"/>
      <c r="F127" s="296"/>
      <c r="G127" s="296"/>
      <c r="H127" s="159"/>
      <c r="I127" s="165">
        <f>(('DADOS BÁSICOS LICITAÇÃO'!$G$54/'DADOS BÁSICOS LICITAÇÃO'!$C$54)/(H$11+'TELEFONISTA 4º ANO'!$H$11+(ROUNDUP(((H109*H11)/(365*0.6986)),0)+(ROUNDUP((('TELEFONISTA 4º ANO'!H109*'TELEFONISTA 4º ANO'!H11)/(365*0.6986)),0))))-I126)</f>
        <v>-0.02</v>
      </c>
      <c r="J127" s="159"/>
      <c r="K127" s="165">
        <f>(('DADOS BÁSICOS LICITAÇÃO'!$G$54/'DADOS BÁSICOS LICITAÇÃO'!$C$54)/(J$11+(ROUNDUP(((J109*J11)/(365*0.6986)),0))))-K126</f>
        <v>-0.69</v>
      </c>
      <c r="L127" s="159"/>
      <c r="M127" s="165">
        <f>(('DADOS BÁSICOS LICITAÇÃO'!$G$54/'DADOS BÁSICOS LICITAÇÃO'!$C$54)/(L$11+(ROUNDUP(((L109*L11)/(365*0.6986)),0))))-M126</f>
        <v>-7.0000000000000007E-2</v>
      </c>
      <c r="N127" s="159"/>
      <c r="O127" s="165">
        <f>(('DADOS BÁSICOS LICITAÇÃO'!$G$54/'DADOS BÁSICOS LICITAÇÃO'!$C$54)/(N$11+(ROUNDUP(((N109*N11)/(365*0.6986)),0))))-O126</f>
        <v>-0.09</v>
      </c>
      <c r="P127" s="159"/>
      <c r="Q127" s="165">
        <f>(('DADOS BÁSICOS LICITAÇÃO'!$G$54/'DADOS BÁSICOS LICITAÇÃO'!$C$54)/(P$11+(ROUNDUP(((P109*P11)/(365*0.6986)),0))))-Q126</f>
        <v>-0.33</v>
      </c>
      <c r="R127" s="159"/>
      <c r="S127" s="165">
        <f>(('DADOS BÁSICOS LICITAÇÃO'!$G$54/'DADOS BÁSICOS LICITAÇÃO'!$C$54)/(R$11+(ROUNDUP(((R109*R11)/(365*0.6986)),0))))-S126</f>
        <v>-0.69</v>
      </c>
      <c r="T127" s="164"/>
    </row>
    <row r="128" spans="1:20" ht="12.75" customHeight="1">
      <c r="A128" s="108" t="s">
        <v>225</v>
      </c>
      <c r="B128" s="297" t="s">
        <v>210</v>
      </c>
      <c r="C128" s="297"/>
      <c r="D128" s="297"/>
      <c r="E128" s="297"/>
      <c r="F128" s="297"/>
      <c r="G128" s="297"/>
      <c r="H128" s="161"/>
      <c r="I128" s="251">
        <f>(('DADOS BÁSICOS 4º ANO'!$G$54/'DADOS BÁSICOS 4º ANO'!$C$54)/(H$11+'TELEFONISTA 4º ANO'!$H$11+ROUNDUP((H11/11),0)+ROUNDUP(('TELEFONISTA 4º ANO'!H11/11),0)))-I126</f>
        <v>-0.03</v>
      </c>
      <c r="J128" s="161"/>
      <c r="K128" s="251">
        <f>(('DADOS BÁSICOS 4º ANO'!$G$54/'DADOS BÁSICOS 4º ANO'!$C$54)/(J$11+ROUNDUP((J11/11),0)))-K126</f>
        <v>-0.69</v>
      </c>
      <c r="L128" s="161"/>
      <c r="M128" s="251">
        <f>(('DADOS BÁSICOS 4º ANO'!$G$54/'DADOS BÁSICOS 4º ANO'!$C$54)/(L$11+ROUNDUP((L11/11),0)))-M126</f>
        <v>-0.13</v>
      </c>
      <c r="N128" s="161"/>
      <c r="O128" s="251">
        <f>(('DADOS BÁSICOS 4º ANO'!$G$54/'DADOS BÁSICOS 4º ANO'!$C$54)/(N$11+ROUNDUP((N11/11),0)))-O126</f>
        <v>-0.16</v>
      </c>
      <c r="P128" s="161"/>
      <c r="Q128" s="251">
        <f>(('DADOS BÁSICOS 4º ANO'!$G$54/'DADOS BÁSICOS 4º ANO'!$C$54)/(P$11+ROUNDUP((P11/11),0)))-Q126</f>
        <v>-0.33</v>
      </c>
      <c r="R128" s="161"/>
      <c r="S128" s="251">
        <f>(('DADOS BÁSICOS 4º ANO'!$G$54/'DADOS BÁSICOS 4º ANO'!$C$54)/(R$11+ROUNDUP((R11/11),0)))-S126</f>
        <v>-0.69</v>
      </c>
      <c r="T128" s="164"/>
    </row>
    <row r="129" spans="1:19">
      <c r="A129" s="287" t="s">
        <v>85</v>
      </c>
      <c r="B129" s="287"/>
      <c r="C129" s="287"/>
      <c r="D129" s="287"/>
      <c r="E129" s="287"/>
      <c r="F129" s="287"/>
      <c r="G129" s="287"/>
      <c r="H129" s="113"/>
      <c r="I129" s="167">
        <f>I120+I124+I125</f>
        <v>41.27</v>
      </c>
      <c r="J129" s="113"/>
      <c r="K129" s="167">
        <f>K120+K124+K125</f>
        <v>55.48</v>
      </c>
      <c r="L129" s="113"/>
      <c r="M129" s="167">
        <f>M120+M124+M125</f>
        <v>44.03</v>
      </c>
      <c r="N129" s="113"/>
      <c r="O129" s="167">
        <f>O120+O124+O125</f>
        <v>45.42</v>
      </c>
      <c r="P129" s="113"/>
      <c r="Q129" s="167">
        <f>Q120+Q124+Q125</f>
        <v>49.13</v>
      </c>
      <c r="R129" s="113"/>
      <c r="S129" s="167">
        <f>S120+S124+S125</f>
        <v>55.48</v>
      </c>
    </row>
    <row r="130" spans="1:19" ht="14.25" customHeight="1">
      <c r="A130" s="289" t="s">
        <v>148</v>
      </c>
      <c r="B130" s="289"/>
      <c r="C130" s="289"/>
      <c r="D130" s="289"/>
      <c r="E130" s="289"/>
      <c r="F130" s="289"/>
      <c r="G130" s="289"/>
      <c r="H130" s="132" t="s">
        <v>93</v>
      </c>
      <c r="I130" s="168">
        <f>I29</f>
        <v>1806.53</v>
      </c>
      <c r="J130" s="132" t="s">
        <v>93</v>
      </c>
      <c r="K130" s="168">
        <f>K29</f>
        <v>1806.53</v>
      </c>
      <c r="L130" s="132" t="s">
        <v>93</v>
      </c>
      <c r="M130" s="168">
        <f>M29</f>
        <v>1806.53</v>
      </c>
      <c r="N130" s="132" t="s">
        <v>93</v>
      </c>
      <c r="O130" s="168">
        <f>O29</f>
        <v>1806.53</v>
      </c>
      <c r="P130" s="132" t="s">
        <v>93</v>
      </c>
      <c r="Q130" s="168">
        <f>Q29</f>
        <v>1806.53</v>
      </c>
      <c r="R130" s="132" t="s">
        <v>93</v>
      </c>
      <c r="S130" s="168">
        <f>S29</f>
        <v>1806.53</v>
      </c>
    </row>
    <row r="131" spans="1:19">
      <c r="A131" s="289"/>
      <c r="B131" s="289"/>
      <c r="C131" s="289"/>
      <c r="D131" s="289"/>
      <c r="E131" s="289"/>
      <c r="F131" s="289"/>
      <c r="G131" s="289"/>
      <c r="H131" s="132" t="s">
        <v>94</v>
      </c>
      <c r="I131" s="168">
        <f>I80</f>
        <v>1834.12</v>
      </c>
      <c r="J131" s="132" t="s">
        <v>94</v>
      </c>
      <c r="K131" s="168">
        <f>K80</f>
        <v>1785.72</v>
      </c>
      <c r="L131" s="132" t="s">
        <v>94</v>
      </c>
      <c r="M131" s="168">
        <f>M80</f>
        <v>1823.12</v>
      </c>
      <c r="N131" s="132" t="s">
        <v>94</v>
      </c>
      <c r="O131" s="168">
        <f>O80</f>
        <v>1825.32</v>
      </c>
      <c r="P131" s="132" t="s">
        <v>94</v>
      </c>
      <c r="Q131" s="168">
        <f>Q80</f>
        <v>1798.92</v>
      </c>
      <c r="R131" s="132" t="s">
        <v>94</v>
      </c>
      <c r="S131" s="168">
        <f>S80</f>
        <v>1825.32</v>
      </c>
    </row>
    <row r="132" spans="1:19">
      <c r="A132" s="289"/>
      <c r="B132" s="289"/>
      <c r="C132" s="289"/>
      <c r="D132" s="289"/>
      <c r="E132" s="289"/>
      <c r="F132" s="289"/>
      <c r="G132" s="289"/>
      <c r="H132" s="132" t="s">
        <v>95</v>
      </c>
      <c r="I132" s="168">
        <f>I89</f>
        <v>60.12</v>
      </c>
      <c r="J132" s="132" t="s">
        <v>95</v>
      </c>
      <c r="K132" s="168">
        <f>K89</f>
        <v>60.12</v>
      </c>
      <c r="L132" s="132" t="s">
        <v>95</v>
      </c>
      <c r="M132" s="168">
        <f>M89</f>
        <v>60.12</v>
      </c>
      <c r="N132" s="132" t="s">
        <v>95</v>
      </c>
      <c r="O132" s="168">
        <f>O89</f>
        <v>60.12</v>
      </c>
      <c r="P132" s="132" t="s">
        <v>95</v>
      </c>
      <c r="Q132" s="168">
        <f>Q89</f>
        <v>60.12</v>
      </c>
      <c r="R132" s="132" t="s">
        <v>95</v>
      </c>
      <c r="S132" s="168">
        <f>S89</f>
        <v>60.12</v>
      </c>
    </row>
    <row r="133" spans="1:19">
      <c r="A133" s="289"/>
      <c r="B133" s="289"/>
      <c r="C133" s="289"/>
      <c r="D133" s="289"/>
      <c r="E133" s="289"/>
      <c r="F133" s="289"/>
      <c r="G133" s="289"/>
      <c r="H133" s="132" t="s">
        <v>96</v>
      </c>
      <c r="I133" s="168">
        <f>I117</f>
        <v>87.55</v>
      </c>
      <c r="J133" s="132" t="s">
        <v>96</v>
      </c>
      <c r="K133" s="168">
        <f>K117</f>
        <v>86.41</v>
      </c>
      <c r="L133" s="132" t="s">
        <v>96</v>
      </c>
      <c r="M133" s="168">
        <f>M117</f>
        <v>87.29</v>
      </c>
      <c r="N133" s="132" t="s">
        <v>96</v>
      </c>
      <c r="O133" s="168">
        <f>O117</f>
        <v>87.35</v>
      </c>
      <c r="P133" s="132" t="s">
        <v>96</v>
      </c>
      <c r="Q133" s="168">
        <f>Q117</f>
        <v>86.71</v>
      </c>
      <c r="R133" s="132" t="s">
        <v>96</v>
      </c>
      <c r="S133" s="168">
        <f>S117</f>
        <v>87.35</v>
      </c>
    </row>
    <row r="134" spans="1:19">
      <c r="A134" s="289"/>
      <c r="B134" s="289"/>
      <c r="C134" s="289"/>
      <c r="D134" s="289"/>
      <c r="E134" s="289"/>
      <c r="F134" s="289"/>
      <c r="G134" s="289"/>
      <c r="H134" s="132" t="s">
        <v>97</v>
      </c>
      <c r="I134" s="82">
        <f>I129</f>
        <v>41.27</v>
      </c>
      <c r="J134" s="132" t="s">
        <v>97</v>
      </c>
      <c r="K134" s="82">
        <f>K129</f>
        <v>55.48</v>
      </c>
      <c r="L134" s="132" t="s">
        <v>97</v>
      </c>
      <c r="M134" s="82">
        <f>M129</f>
        <v>44.03</v>
      </c>
      <c r="N134" s="132" t="s">
        <v>97</v>
      </c>
      <c r="O134" s="82">
        <f>O129</f>
        <v>45.42</v>
      </c>
      <c r="P134" s="132" t="s">
        <v>97</v>
      </c>
      <c r="Q134" s="82">
        <f>Q129</f>
        <v>49.13</v>
      </c>
      <c r="R134" s="132" t="s">
        <v>97</v>
      </c>
      <c r="S134" s="82">
        <f>S129</f>
        <v>55.48</v>
      </c>
    </row>
    <row r="135" spans="1:19">
      <c r="A135" s="289"/>
      <c r="B135" s="289"/>
      <c r="C135" s="289"/>
      <c r="D135" s="289"/>
      <c r="E135" s="289"/>
      <c r="F135" s="289"/>
      <c r="G135" s="289"/>
      <c r="H135" s="132" t="s">
        <v>85</v>
      </c>
      <c r="I135" s="82">
        <f>SUM(I130:I134)</f>
        <v>3829.59</v>
      </c>
      <c r="J135" s="132" t="s">
        <v>85</v>
      </c>
      <c r="K135" s="82">
        <f>SUM(K130:K134)</f>
        <v>3794.26</v>
      </c>
      <c r="L135" s="132" t="s">
        <v>85</v>
      </c>
      <c r="M135" s="82">
        <f>SUM(M130:M134)</f>
        <v>3821.09</v>
      </c>
      <c r="N135" s="132" t="s">
        <v>85</v>
      </c>
      <c r="O135" s="82">
        <f>SUM(O130:O134)</f>
        <v>3824.74</v>
      </c>
      <c r="P135" s="132" t="s">
        <v>85</v>
      </c>
      <c r="Q135" s="82">
        <f>SUM(Q130:Q134)</f>
        <v>3801.41</v>
      </c>
      <c r="R135" s="132" t="s">
        <v>85</v>
      </c>
      <c r="S135" s="82">
        <f>SUM(S130:S134)</f>
        <v>3834.8</v>
      </c>
    </row>
    <row r="136" spans="1:19" ht="24" customHeight="1">
      <c r="A136" s="88" t="s">
        <v>149</v>
      </c>
      <c r="B136" s="88"/>
      <c r="C136" s="88"/>
      <c r="D136" s="88"/>
      <c r="E136" s="88"/>
      <c r="F136" s="88"/>
      <c r="G136" s="88"/>
      <c r="H136" s="89"/>
      <c r="I136" s="90"/>
      <c r="J136" s="89"/>
      <c r="K136" s="90"/>
      <c r="L136" s="89"/>
      <c r="M136" s="90"/>
      <c r="N136" s="89"/>
      <c r="O136" s="90"/>
      <c r="P136" s="89"/>
      <c r="Q136" s="90"/>
      <c r="R136" s="89"/>
      <c r="S136" s="90"/>
    </row>
    <row r="137" spans="1:19">
      <c r="A137" s="66">
        <v>6</v>
      </c>
      <c r="B137" s="290" t="s">
        <v>150</v>
      </c>
      <c r="C137" s="290"/>
      <c r="D137" s="290"/>
      <c r="E137" s="290"/>
      <c r="F137" s="290"/>
      <c r="G137" s="290"/>
      <c r="H137" s="67" t="s">
        <v>78</v>
      </c>
      <c r="I137" s="68" t="s">
        <v>79</v>
      </c>
      <c r="J137" s="67" t="s">
        <v>78</v>
      </c>
      <c r="K137" s="68" t="s">
        <v>79</v>
      </c>
      <c r="L137" s="67" t="s">
        <v>78</v>
      </c>
      <c r="M137" s="68" t="s">
        <v>79</v>
      </c>
      <c r="N137" s="67" t="s">
        <v>78</v>
      </c>
      <c r="O137" s="68" t="s">
        <v>79</v>
      </c>
      <c r="P137" s="67" t="s">
        <v>78</v>
      </c>
      <c r="Q137" s="68" t="s">
        <v>79</v>
      </c>
      <c r="R137" s="67" t="s">
        <v>78</v>
      </c>
      <c r="S137" s="68" t="s">
        <v>79</v>
      </c>
    </row>
    <row r="138" spans="1:19">
      <c r="A138" s="69" t="s">
        <v>58</v>
      </c>
      <c r="B138" s="291" t="s">
        <v>151</v>
      </c>
      <c r="C138" s="292"/>
      <c r="D138" s="292"/>
      <c r="E138" s="292"/>
      <c r="F138" s="292"/>
      <c r="G138" s="293"/>
      <c r="H138" s="124">
        <f>'DADOS BÁSICOS 4º ANO'!$S8</f>
        <v>0.05</v>
      </c>
      <c r="I138" s="71">
        <f>(H138*I135)</f>
        <v>191.48</v>
      </c>
      <c r="J138" s="124">
        <f>'DADOS BÁSICOS 4º ANO'!$S9</f>
        <v>0.05</v>
      </c>
      <c r="K138" s="71">
        <f>(J138*K135)</f>
        <v>189.71</v>
      </c>
      <c r="L138" s="124">
        <f>'DADOS BÁSICOS 4º ANO'!$S10</f>
        <v>0.05</v>
      </c>
      <c r="M138" s="71">
        <f>(L138*M135)</f>
        <v>191.05</v>
      </c>
      <c r="N138" s="124">
        <f>'DADOS BÁSICOS 4º ANO'!$S11</f>
        <v>0.05</v>
      </c>
      <c r="O138" s="71">
        <f>(N138*O135)</f>
        <v>191.24</v>
      </c>
      <c r="P138" s="124">
        <f>'DADOS BÁSICOS 4º ANO'!$S12</f>
        <v>0.05</v>
      </c>
      <c r="Q138" s="71">
        <f>(P138*Q135)</f>
        <v>190.07</v>
      </c>
      <c r="R138" s="124">
        <f>'DADOS BÁSICOS 4º ANO'!$S13</f>
        <v>0.05</v>
      </c>
      <c r="S138" s="71">
        <f>(R138*S135)</f>
        <v>191.74</v>
      </c>
    </row>
    <row r="139" spans="1:19">
      <c r="A139" s="69" t="s">
        <v>60</v>
      </c>
      <c r="B139" s="291" t="s">
        <v>152</v>
      </c>
      <c r="C139" s="292"/>
      <c r="D139" s="292"/>
      <c r="E139" s="292"/>
      <c r="F139" s="292"/>
      <c r="G139" s="293"/>
      <c r="H139" s="124">
        <f>'DADOS BÁSICOS 4º ANO'!$T8</f>
        <v>0.05</v>
      </c>
      <c r="I139" s="71">
        <f>H139*(I135+I138)</f>
        <v>201.05</v>
      </c>
      <c r="J139" s="124">
        <f>'DADOS BÁSICOS 4º ANO'!$T9</f>
        <v>0.05</v>
      </c>
      <c r="K139" s="71">
        <f>J139*(K135+K138)</f>
        <v>199.2</v>
      </c>
      <c r="L139" s="124">
        <f>'DADOS BÁSICOS 4º ANO'!$T10</f>
        <v>0.05</v>
      </c>
      <c r="M139" s="71">
        <f>L139*(M135+M138)</f>
        <v>200.61</v>
      </c>
      <c r="N139" s="124">
        <f>'DADOS BÁSICOS 4º ANO'!$T11</f>
        <v>0.05</v>
      </c>
      <c r="O139" s="71">
        <f>N139*(O135+O138)</f>
        <v>200.8</v>
      </c>
      <c r="P139" s="124">
        <f>'DADOS BÁSICOS 4º ANO'!$T12</f>
        <v>0.05</v>
      </c>
      <c r="Q139" s="71">
        <f>P139*(Q135+Q138)</f>
        <v>199.57</v>
      </c>
      <c r="R139" s="124">
        <f>'DADOS BÁSICOS 4º ANO'!$T13</f>
        <v>0.05</v>
      </c>
      <c r="S139" s="71">
        <f>R139*(S135+S138)</f>
        <v>201.33</v>
      </c>
    </row>
    <row r="140" spans="1:19">
      <c r="A140" s="69" t="s">
        <v>62</v>
      </c>
      <c r="B140" s="294" t="s">
        <v>153</v>
      </c>
      <c r="C140" s="294"/>
      <c r="D140" s="294"/>
      <c r="E140" s="294"/>
      <c r="F140" s="294"/>
      <c r="G140" s="294"/>
      <c r="H140" s="169">
        <f>SUM(H141+H142+H143)</f>
        <v>8.6499999999999994E-2</v>
      </c>
      <c r="I140" s="170">
        <f>SUM(I141:I143)</f>
        <v>399.8</v>
      </c>
      <c r="J140" s="169">
        <f>SUM(J141+J142+J143)</f>
        <v>8.6499999999999994E-2</v>
      </c>
      <c r="K140" s="170">
        <f>SUM(K141:K143)</f>
        <v>396.11</v>
      </c>
      <c r="L140" s="169">
        <f>SUM(L141+L142+L143)</f>
        <v>7.6499999999999999E-2</v>
      </c>
      <c r="M140" s="170">
        <f>SUM(M141:M143)</f>
        <v>348.97</v>
      </c>
      <c r="N140" s="169">
        <f>SUM(N141+N142+N143)</f>
        <v>6.6500000000000004E-2</v>
      </c>
      <c r="O140" s="170">
        <f>SUM(O141:O143)</f>
        <v>300.39999999999998</v>
      </c>
      <c r="P140" s="169">
        <f>SUM(P141+P142+P143)</f>
        <v>7.6499999999999999E-2</v>
      </c>
      <c r="Q140" s="170">
        <f>SUM(Q141:Q143)</f>
        <v>347.18</v>
      </c>
      <c r="R140" s="169">
        <f>SUM(R141+R142+R143)</f>
        <v>8.6499999999999994E-2</v>
      </c>
      <c r="S140" s="170">
        <f>SUM(S141:S143)</f>
        <v>400.34</v>
      </c>
    </row>
    <row r="141" spans="1:19" ht="12.75" customHeight="1">
      <c r="A141" s="154"/>
      <c r="B141" s="286" t="s">
        <v>154</v>
      </c>
      <c r="C141" s="286"/>
      <c r="D141" s="286"/>
      <c r="E141" s="286"/>
      <c r="F141" s="286"/>
      <c r="G141" s="286"/>
      <c r="H141" s="127">
        <f>IF('DADOS BÁSICOS 4º ANO'!$B$25="LUCRO PRESUMIDO",'DADOS BÁSICOS 4º ANO'!$B$28,'DADOS BÁSICOS 4º ANO'!$C$28)</f>
        <v>0.03</v>
      </c>
      <c r="I141" s="71">
        <f>SUM(H141*I154)</f>
        <v>138.66</v>
      </c>
      <c r="J141" s="127">
        <f>IF('DADOS BÁSICOS 4º ANO'!$B$25="LUCRO PRESUMIDO",'DADOS BÁSICOS 4º ANO'!$B$28,'DADOS BÁSICOS 4º ANO'!$C$28)</f>
        <v>0.03</v>
      </c>
      <c r="K141" s="71">
        <f>SUM(J141*K154)</f>
        <v>137.38</v>
      </c>
      <c r="L141" s="127">
        <f>IF('DADOS BÁSICOS 4º ANO'!$B$25="LUCRO PRESUMIDO",'DADOS BÁSICOS 4º ANO'!$B$28,'DADOS BÁSICOS 4º ANO'!$C$28)</f>
        <v>0.03</v>
      </c>
      <c r="M141" s="71">
        <f>SUM(L141*M154)</f>
        <v>136.85</v>
      </c>
      <c r="N141" s="127">
        <f>IF('DADOS BÁSICOS 4º ANO'!$B$25="LUCRO PRESUMIDO",'DADOS BÁSICOS 4º ANO'!$B$28,'DADOS BÁSICOS 4º ANO'!$C$28)</f>
        <v>0.03</v>
      </c>
      <c r="O141" s="71">
        <f>SUM(N141*O154)</f>
        <v>135.52000000000001</v>
      </c>
      <c r="P141" s="127">
        <f>IF('DADOS BÁSICOS 4º ANO'!$B$25="LUCRO PRESUMIDO",'DADOS BÁSICOS 4º ANO'!$B$28,'DADOS BÁSICOS 4º ANO'!$C$28)</f>
        <v>0.03</v>
      </c>
      <c r="Q141" s="71">
        <f>SUM(P141*Q154)</f>
        <v>136.15</v>
      </c>
      <c r="R141" s="127">
        <f>IF('DADOS BÁSICOS 4º ANO'!$B$25="LUCRO PRESUMIDO",'DADOS BÁSICOS 4º ANO'!$B$28,'DADOS BÁSICOS 4º ANO'!$C$28)</f>
        <v>0.03</v>
      </c>
      <c r="S141" s="71">
        <f>SUM(R141*S154)</f>
        <v>138.85</v>
      </c>
    </row>
    <row r="142" spans="1:19" ht="12.75" customHeight="1">
      <c r="A142" s="154"/>
      <c r="B142" s="286" t="s">
        <v>155</v>
      </c>
      <c r="C142" s="286"/>
      <c r="D142" s="286"/>
      <c r="E142" s="286"/>
      <c r="F142" s="286"/>
      <c r="G142" s="286"/>
      <c r="H142" s="127">
        <f>IF('DADOS BÁSICOS 4º ANO'!$B$25="LUCRO PRESUMIDO",'DADOS BÁSICOS 4º ANO'!$B$27,'DADOS BÁSICOS 4º ANO'!$C$27)</f>
        <v>6.4999999999999997E-3</v>
      </c>
      <c r="I142" s="71">
        <f>SUM(H142*I154)</f>
        <v>30.04</v>
      </c>
      <c r="J142" s="127">
        <f>IF('DADOS BÁSICOS 4º ANO'!$B$25="LUCRO PRESUMIDO",'DADOS BÁSICOS 4º ANO'!$B$27,'DADOS BÁSICOS 4º ANO'!$C$27)</f>
        <v>6.4999999999999997E-3</v>
      </c>
      <c r="K142" s="71">
        <f>SUM(J142*K154)</f>
        <v>29.77</v>
      </c>
      <c r="L142" s="127">
        <f>IF('DADOS BÁSICOS 4º ANO'!$B$25="LUCRO PRESUMIDO",'DADOS BÁSICOS 4º ANO'!$B$27,'DADOS BÁSICOS 4º ANO'!$C$27)</f>
        <v>6.4999999999999997E-3</v>
      </c>
      <c r="M142" s="71">
        <f>SUM(L142*M154)</f>
        <v>29.65</v>
      </c>
      <c r="N142" s="127">
        <f>IF('DADOS BÁSICOS 4º ANO'!$B$25="LUCRO PRESUMIDO",'DADOS BÁSICOS 4º ANO'!$B$27,'DADOS BÁSICOS 4º ANO'!$C$27)</f>
        <v>6.4999999999999997E-3</v>
      </c>
      <c r="O142" s="71">
        <f>SUM(N142*O154)</f>
        <v>29.36</v>
      </c>
      <c r="P142" s="127">
        <f>IF('DADOS BÁSICOS 4º ANO'!$B$25="LUCRO PRESUMIDO",'DADOS BÁSICOS 4º ANO'!$B$27,'DADOS BÁSICOS 4º ANO'!$C$27)</f>
        <v>6.4999999999999997E-3</v>
      </c>
      <c r="Q142" s="71">
        <f>SUM(P142*Q154)</f>
        <v>29.5</v>
      </c>
      <c r="R142" s="127">
        <f>IF('DADOS BÁSICOS 4º ANO'!$B$25="LUCRO PRESUMIDO",'DADOS BÁSICOS 4º ANO'!$B$27,'DADOS BÁSICOS 4º ANO'!$C$27)</f>
        <v>6.4999999999999997E-3</v>
      </c>
      <c r="S142" s="71">
        <f>SUM(R142*S154)</f>
        <v>30.08</v>
      </c>
    </row>
    <row r="143" spans="1:19" ht="12.75" customHeight="1">
      <c r="A143" s="154"/>
      <c r="B143" s="286" t="s">
        <v>156</v>
      </c>
      <c r="C143" s="286"/>
      <c r="D143" s="286"/>
      <c r="E143" s="286"/>
      <c r="F143" s="286"/>
      <c r="G143" s="286"/>
      <c r="H143" s="127">
        <f>'DADOS BÁSICOS 4º ANO'!U8</f>
        <v>0.05</v>
      </c>
      <c r="I143" s="71">
        <f>SUM(H143*I154)</f>
        <v>231.1</v>
      </c>
      <c r="J143" s="127">
        <f>'DADOS BÁSICOS 4º ANO'!U9</f>
        <v>0.05</v>
      </c>
      <c r="K143" s="71">
        <f>SUM(J143*K154)</f>
        <v>228.96</v>
      </c>
      <c r="L143" s="127">
        <f>'DADOS BÁSICOS 4º ANO'!U10</f>
        <v>0.04</v>
      </c>
      <c r="M143" s="71">
        <f>SUM(L143*M154)</f>
        <v>182.47</v>
      </c>
      <c r="N143" s="127">
        <f>'DADOS BÁSICOS 4º ANO'!U11</f>
        <v>0.03</v>
      </c>
      <c r="O143" s="71">
        <f>SUM(N143*O154)</f>
        <v>135.52000000000001</v>
      </c>
      <c r="P143" s="127">
        <f>'DADOS BÁSICOS 4º ANO'!U12</f>
        <v>0.04</v>
      </c>
      <c r="Q143" s="71">
        <f>SUM(P143*Q154)</f>
        <v>181.53</v>
      </c>
      <c r="R143" s="127">
        <f>'DADOS BÁSICOS 4º ANO'!U13</f>
        <v>0.05</v>
      </c>
      <c r="S143" s="71">
        <f>SUM(R143*S154)</f>
        <v>231.41</v>
      </c>
    </row>
    <row r="144" spans="1:19">
      <c r="A144" s="287" t="s">
        <v>85</v>
      </c>
      <c r="B144" s="287"/>
      <c r="C144" s="287"/>
      <c r="D144" s="287"/>
      <c r="E144" s="287"/>
      <c r="F144" s="287"/>
      <c r="G144" s="287"/>
      <c r="H144" s="171"/>
      <c r="I144" s="80">
        <f>SUM(I138+I139+I141+I142+I143)</f>
        <v>792.33</v>
      </c>
      <c r="J144" s="171"/>
      <c r="K144" s="80">
        <f>SUM(K138+K139+K141+K142+K143)</f>
        <v>785.02</v>
      </c>
      <c r="L144" s="171"/>
      <c r="M144" s="80">
        <f>SUM(M138+M139+M141+M142+M143)</f>
        <v>740.63</v>
      </c>
      <c r="N144" s="171"/>
      <c r="O144" s="80">
        <f>SUM(O138+O139+O141+O142+O143)</f>
        <v>692.44</v>
      </c>
      <c r="P144" s="171"/>
      <c r="Q144" s="80">
        <f>SUM(Q138+Q139+Q141+Q142+Q143)</f>
        <v>736.82</v>
      </c>
      <c r="R144" s="171"/>
      <c r="S144" s="80">
        <f>SUM(S138+S139+S141+S142+S143)</f>
        <v>793.41</v>
      </c>
    </row>
    <row r="145" spans="1:19" ht="19.5" customHeight="1">
      <c r="A145" s="172" t="s">
        <v>157</v>
      </c>
      <c r="B145" s="173"/>
      <c r="C145" s="173"/>
      <c r="D145" s="173"/>
      <c r="E145" s="173"/>
      <c r="F145" s="173"/>
      <c r="G145" s="173"/>
      <c r="H145" s="174"/>
      <c r="I145" s="175"/>
      <c r="J145" s="174"/>
      <c r="K145" s="175"/>
      <c r="L145" s="174"/>
      <c r="M145" s="175"/>
      <c r="N145" s="174"/>
      <c r="O145" s="175"/>
      <c r="P145" s="174"/>
      <c r="Q145" s="175"/>
      <c r="R145" s="174"/>
      <c r="S145" s="175"/>
    </row>
    <row r="146" spans="1:19" ht="12.75" customHeight="1">
      <c r="A146" s="288" t="s">
        <v>158</v>
      </c>
      <c r="B146" s="288"/>
      <c r="C146" s="288"/>
      <c r="D146" s="288"/>
      <c r="E146" s="288"/>
      <c r="F146" s="288"/>
      <c r="G146" s="288"/>
      <c r="H146" s="148"/>
      <c r="I146" s="84" t="s">
        <v>79</v>
      </c>
      <c r="J146" s="148"/>
      <c r="K146" s="84" t="s">
        <v>79</v>
      </c>
      <c r="L146" s="148"/>
      <c r="M146" s="84" t="s">
        <v>79</v>
      </c>
      <c r="N146" s="148"/>
      <c r="O146" s="84" t="s">
        <v>79</v>
      </c>
      <c r="P146" s="148"/>
      <c r="Q146" s="84" t="s">
        <v>79</v>
      </c>
      <c r="R146" s="148"/>
      <c r="S146" s="84" t="s">
        <v>79</v>
      </c>
    </row>
    <row r="147" spans="1:19" ht="12.75" customHeight="1">
      <c r="A147" s="176" t="s">
        <v>58</v>
      </c>
      <c r="B147" s="284" t="s">
        <v>159</v>
      </c>
      <c r="C147" s="284"/>
      <c r="D147" s="284"/>
      <c r="E147" s="284"/>
      <c r="F147" s="284"/>
      <c r="G147" s="284"/>
      <c r="H147" s="48"/>
      <c r="I147" s="177">
        <f>I29</f>
        <v>1806.53</v>
      </c>
      <c r="J147" s="48"/>
      <c r="K147" s="177">
        <f>K29</f>
        <v>1806.53</v>
      </c>
      <c r="L147" s="48"/>
      <c r="M147" s="177">
        <f>M29</f>
        <v>1806.53</v>
      </c>
      <c r="N147" s="48"/>
      <c r="O147" s="177">
        <f>O29</f>
        <v>1806.53</v>
      </c>
      <c r="P147" s="48"/>
      <c r="Q147" s="177">
        <f>Q29</f>
        <v>1806.53</v>
      </c>
      <c r="R147" s="48"/>
      <c r="S147" s="177">
        <f>S29</f>
        <v>1806.53</v>
      </c>
    </row>
    <row r="148" spans="1:19" ht="12.75" customHeight="1">
      <c r="A148" s="176" t="s">
        <v>60</v>
      </c>
      <c r="B148" s="284" t="s">
        <v>121</v>
      </c>
      <c r="C148" s="284"/>
      <c r="D148" s="284"/>
      <c r="E148" s="284"/>
      <c r="F148" s="284"/>
      <c r="G148" s="284"/>
      <c r="H148" s="178"/>
      <c r="I148" s="177">
        <f>I80</f>
        <v>1834.12</v>
      </c>
      <c r="J148" s="178"/>
      <c r="K148" s="177">
        <f>K80</f>
        <v>1785.72</v>
      </c>
      <c r="L148" s="178"/>
      <c r="M148" s="177">
        <f>M80</f>
        <v>1823.12</v>
      </c>
      <c r="N148" s="178"/>
      <c r="O148" s="177">
        <f>O80</f>
        <v>1825.32</v>
      </c>
      <c r="P148" s="178"/>
      <c r="Q148" s="177">
        <f>Q80</f>
        <v>1798.92</v>
      </c>
      <c r="R148" s="178"/>
      <c r="S148" s="177">
        <f>S80</f>
        <v>1825.32</v>
      </c>
    </row>
    <row r="149" spans="1:19" ht="12.75" customHeight="1">
      <c r="A149" s="176" t="s">
        <v>62</v>
      </c>
      <c r="B149" s="284" t="s">
        <v>160</v>
      </c>
      <c r="C149" s="284"/>
      <c r="D149" s="284"/>
      <c r="E149" s="284"/>
      <c r="F149" s="284"/>
      <c r="G149" s="284"/>
      <c r="H149" s="178"/>
      <c r="I149" s="177">
        <f>I89</f>
        <v>60.12</v>
      </c>
      <c r="J149" s="178"/>
      <c r="K149" s="177">
        <f>K89</f>
        <v>60.12</v>
      </c>
      <c r="L149" s="178"/>
      <c r="M149" s="177">
        <f>M89</f>
        <v>60.12</v>
      </c>
      <c r="N149" s="178"/>
      <c r="O149" s="177">
        <f>O89</f>
        <v>60.12</v>
      </c>
      <c r="P149" s="178"/>
      <c r="Q149" s="177">
        <f>Q89</f>
        <v>60.12</v>
      </c>
      <c r="R149" s="178"/>
      <c r="S149" s="177">
        <f>S89</f>
        <v>60.12</v>
      </c>
    </row>
    <row r="150" spans="1:19" ht="12.75" customHeight="1">
      <c r="A150" s="176" t="s">
        <v>64</v>
      </c>
      <c r="B150" s="284" t="s">
        <v>144</v>
      </c>
      <c r="C150" s="284"/>
      <c r="D150" s="284"/>
      <c r="E150" s="284"/>
      <c r="F150" s="284"/>
      <c r="G150" s="284"/>
      <c r="H150" s="178"/>
      <c r="I150" s="177">
        <f>I117</f>
        <v>87.55</v>
      </c>
      <c r="J150" s="178"/>
      <c r="K150" s="177">
        <f>K117</f>
        <v>86.41</v>
      </c>
      <c r="L150" s="178"/>
      <c r="M150" s="177">
        <f>M117</f>
        <v>87.29</v>
      </c>
      <c r="N150" s="178"/>
      <c r="O150" s="177">
        <f>O117</f>
        <v>87.35</v>
      </c>
      <c r="P150" s="178"/>
      <c r="Q150" s="177">
        <f>Q117</f>
        <v>86.71</v>
      </c>
      <c r="R150" s="178"/>
      <c r="S150" s="177">
        <f>S117</f>
        <v>87.35</v>
      </c>
    </row>
    <row r="151" spans="1:19" ht="12.75" customHeight="1">
      <c r="A151" s="176" t="s">
        <v>66</v>
      </c>
      <c r="B151" s="284" t="s">
        <v>161</v>
      </c>
      <c r="C151" s="284"/>
      <c r="D151" s="284"/>
      <c r="E151" s="284"/>
      <c r="F151" s="284"/>
      <c r="G151" s="284"/>
      <c r="H151" s="178"/>
      <c r="I151" s="177">
        <f>I129</f>
        <v>41.27</v>
      </c>
      <c r="J151" s="178"/>
      <c r="K151" s="177">
        <f>K129</f>
        <v>55.48</v>
      </c>
      <c r="L151" s="178"/>
      <c r="M151" s="177">
        <f>M129</f>
        <v>44.03</v>
      </c>
      <c r="N151" s="178"/>
      <c r="O151" s="177">
        <f>O129</f>
        <v>45.42</v>
      </c>
      <c r="P151" s="178"/>
      <c r="Q151" s="177">
        <f>Q129</f>
        <v>49.13</v>
      </c>
      <c r="R151" s="178"/>
      <c r="S151" s="177">
        <f>S129</f>
        <v>55.48</v>
      </c>
    </row>
    <row r="152" spans="1:19" ht="16.5" customHeight="1">
      <c r="A152" s="285" t="s">
        <v>162</v>
      </c>
      <c r="B152" s="285"/>
      <c r="C152" s="285"/>
      <c r="D152" s="285"/>
      <c r="E152" s="285"/>
      <c r="F152" s="285"/>
      <c r="G152" s="285"/>
      <c r="H152" s="179"/>
      <c r="I152" s="180">
        <f>SUM(I147:I151)</f>
        <v>3829.59</v>
      </c>
      <c r="J152" s="179"/>
      <c r="K152" s="180">
        <f>SUM(K147:K151)</f>
        <v>3794.26</v>
      </c>
      <c r="L152" s="179"/>
      <c r="M152" s="180">
        <f>SUM(M147:M151)</f>
        <v>3821.09</v>
      </c>
      <c r="N152" s="179"/>
      <c r="O152" s="180">
        <f>SUM(O147:O151)</f>
        <v>3824.74</v>
      </c>
      <c r="P152" s="179"/>
      <c r="Q152" s="180">
        <f>SUM(Q147:Q151)</f>
        <v>3801.41</v>
      </c>
      <c r="R152" s="179"/>
      <c r="S152" s="180">
        <f>SUM(S147:S151)</f>
        <v>3834.8</v>
      </c>
    </row>
    <row r="153" spans="1:19" ht="12.75" customHeight="1">
      <c r="A153" s="181" t="s">
        <v>84</v>
      </c>
      <c r="B153" s="286" t="s">
        <v>163</v>
      </c>
      <c r="C153" s="286"/>
      <c r="D153" s="286"/>
      <c r="E153" s="286"/>
      <c r="F153" s="286"/>
      <c r="G153" s="286"/>
      <c r="H153" s="48"/>
      <c r="I153" s="182">
        <f>I144</f>
        <v>792.33</v>
      </c>
      <c r="J153" s="48"/>
      <c r="K153" s="182">
        <f>K144</f>
        <v>785.02</v>
      </c>
      <c r="L153" s="48"/>
      <c r="M153" s="182">
        <f>M144</f>
        <v>740.63</v>
      </c>
      <c r="N153" s="48"/>
      <c r="O153" s="182">
        <f>O144</f>
        <v>692.44</v>
      </c>
      <c r="P153" s="48"/>
      <c r="Q153" s="182">
        <f>Q144</f>
        <v>736.82</v>
      </c>
      <c r="R153" s="48"/>
      <c r="S153" s="182">
        <f>S144</f>
        <v>793.41</v>
      </c>
    </row>
    <row r="154" spans="1:19" ht="16.5" customHeight="1" thickBot="1">
      <c r="A154" s="285" t="s">
        <v>164</v>
      </c>
      <c r="B154" s="285"/>
      <c r="C154" s="285"/>
      <c r="D154" s="285"/>
      <c r="E154" s="285"/>
      <c r="F154" s="285"/>
      <c r="G154" s="285"/>
      <c r="H154" s="183"/>
      <c r="I154" s="184">
        <f>SUM(I152+I138+I139)/(1-H140)</f>
        <v>4621.92</v>
      </c>
      <c r="J154" s="183"/>
      <c r="K154" s="184">
        <f>SUM(K152+K138+K139)/(1-J140)</f>
        <v>4579.28</v>
      </c>
      <c r="L154" s="183"/>
      <c r="M154" s="184">
        <f>SUM(M152+M138+M139)/(1-L140)</f>
        <v>4561.72</v>
      </c>
      <c r="N154" s="183"/>
      <c r="O154" s="184">
        <f>SUM(O152+O138+O139)/(1-N140)</f>
        <v>4517.17</v>
      </c>
      <c r="P154" s="183"/>
      <c r="Q154" s="184">
        <f>SUM(Q152+Q138+Q139)/(1-P140)</f>
        <v>4538.22</v>
      </c>
      <c r="R154" s="183"/>
      <c r="S154" s="184">
        <f>SUM(S152+S138+S139)/(1-R140)</f>
        <v>4628.21</v>
      </c>
    </row>
    <row r="155" spans="1:19" ht="19.5" customHeight="1">
      <c r="A155" s="172" t="s">
        <v>165</v>
      </c>
      <c r="B155" s="185"/>
      <c r="C155" s="185"/>
      <c r="D155" s="185"/>
      <c r="E155" s="185"/>
      <c r="F155" s="185"/>
      <c r="G155" s="185"/>
      <c r="H155" s="186" t="s">
        <v>166</v>
      </c>
      <c r="I155" s="185" t="s">
        <v>79</v>
      </c>
      <c r="J155" s="186" t="s">
        <v>166</v>
      </c>
      <c r="K155" s="185" t="s">
        <v>79</v>
      </c>
      <c r="L155" s="186" t="s">
        <v>166</v>
      </c>
      <c r="M155" s="185" t="s">
        <v>79</v>
      </c>
      <c r="N155" s="186" t="s">
        <v>166</v>
      </c>
      <c r="O155" s="185" t="s">
        <v>79</v>
      </c>
      <c r="P155" s="186" t="s">
        <v>166</v>
      </c>
      <c r="Q155" s="185" t="s">
        <v>79</v>
      </c>
      <c r="R155" s="186" t="s">
        <v>166</v>
      </c>
      <c r="S155" s="185" t="s">
        <v>79</v>
      </c>
    </row>
    <row r="156" spans="1:19">
      <c r="A156" s="43" t="s">
        <v>198</v>
      </c>
      <c r="B156" s="283" t="s">
        <v>25</v>
      </c>
      <c r="C156" s="283"/>
      <c r="D156" s="283"/>
      <c r="E156" s="283"/>
      <c r="F156" s="283"/>
      <c r="G156" s="283"/>
      <c r="H156" s="187">
        <f>H11</f>
        <v>46</v>
      </c>
      <c r="I156" s="188">
        <f>H156*I154</f>
        <v>212608.32</v>
      </c>
      <c r="J156" s="187">
        <f>J11</f>
        <v>4</v>
      </c>
      <c r="K156" s="188">
        <f>J156*K154</f>
        <v>18317.12</v>
      </c>
      <c r="L156" s="187">
        <f>L11</f>
        <v>14</v>
      </c>
      <c r="M156" s="188">
        <f>L156*M154</f>
        <v>63864.08</v>
      </c>
      <c r="N156" s="187">
        <f>N11</f>
        <v>12</v>
      </c>
      <c r="O156" s="188">
        <f>N156*O154</f>
        <v>54206.04</v>
      </c>
      <c r="P156" s="187">
        <f>P11</f>
        <v>6</v>
      </c>
      <c r="Q156" s="188">
        <f>P156*Q154</f>
        <v>27229.32</v>
      </c>
      <c r="R156" s="187">
        <f>R11</f>
        <v>4</v>
      </c>
      <c r="S156" s="188">
        <f>R156*S154</f>
        <v>18512.84</v>
      </c>
    </row>
    <row r="157" spans="1:19">
      <c r="I157" s="35"/>
    </row>
    <row r="158" spans="1:19">
      <c r="I158" s="164"/>
    </row>
    <row r="159" spans="1:19">
      <c r="I159" s="164"/>
    </row>
    <row r="160" spans="1: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4Adji9Bkm3y4Z29EAN0FRK/sfYYrpAyngmz2Wj+zPzA/06l3qUedEOdet3w/Qk1YV4iKkQYoeSp8TRq253YZOg==" saltValue="NTYrUM9fp3VY9+5cwd4G8A==" spinCount="100000" sheet="1" objects="1" scenarios="1"/>
  <mergeCells count="223">
    <mergeCell ref="A1:S1"/>
    <mergeCell ref="A2:S2"/>
    <mergeCell ref="A3:S3"/>
    <mergeCell ref="A4:S4"/>
    <mergeCell ref="A5:I5"/>
    <mergeCell ref="A6:S6"/>
    <mergeCell ref="R7:S7"/>
    <mergeCell ref="B8:G8"/>
    <mergeCell ref="H8:I8"/>
    <mergeCell ref="J8:K8"/>
    <mergeCell ref="L8:M8"/>
    <mergeCell ref="N8:O8"/>
    <mergeCell ref="P8:Q8"/>
    <mergeCell ref="R8:S8"/>
    <mergeCell ref="B7:G7"/>
    <mergeCell ref="H7:I7"/>
    <mergeCell ref="J7:K7"/>
    <mergeCell ref="L7:M7"/>
    <mergeCell ref="N7:O7"/>
    <mergeCell ref="P7:Q7"/>
    <mergeCell ref="R9:S9"/>
    <mergeCell ref="B10:G10"/>
    <mergeCell ref="H10:I10"/>
    <mergeCell ref="J10:K10"/>
    <mergeCell ref="L10:M10"/>
    <mergeCell ref="N10:O10"/>
    <mergeCell ref="P10:Q10"/>
    <mergeCell ref="R10:S10"/>
    <mergeCell ref="B9:G9"/>
    <mergeCell ref="H9:I9"/>
    <mergeCell ref="J9:K9"/>
    <mergeCell ref="L9:M9"/>
    <mergeCell ref="N9:O9"/>
    <mergeCell ref="P9:Q9"/>
    <mergeCell ref="R11:S11"/>
    <mergeCell ref="B13:G13"/>
    <mergeCell ref="H13:I13"/>
    <mergeCell ref="J13:K13"/>
    <mergeCell ref="L13:M13"/>
    <mergeCell ref="N13:O13"/>
    <mergeCell ref="P13:Q13"/>
    <mergeCell ref="R13:S13"/>
    <mergeCell ref="B11:G11"/>
    <mergeCell ref="H11:I11"/>
    <mergeCell ref="J11:K11"/>
    <mergeCell ref="L11:M11"/>
    <mergeCell ref="N11:O11"/>
    <mergeCell ref="P11:Q11"/>
    <mergeCell ref="R14:S14"/>
    <mergeCell ref="B15:G15"/>
    <mergeCell ref="H15:I15"/>
    <mergeCell ref="J15:K15"/>
    <mergeCell ref="L15:M15"/>
    <mergeCell ref="N15:O15"/>
    <mergeCell ref="P15:Q15"/>
    <mergeCell ref="R15:S15"/>
    <mergeCell ref="B14:G14"/>
    <mergeCell ref="H14:I14"/>
    <mergeCell ref="J14:K14"/>
    <mergeCell ref="L14:M14"/>
    <mergeCell ref="N14:O14"/>
    <mergeCell ref="P14:Q14"/>
    <mergeCell ref="R16:S16"/>
    <mergeCell ref="B17:G17"/>
    <mergeCell ref="H17:I17"/>
    <mergeCell ref="J17:K17"/>
    <mergeCell ref="L17:M17"/>
    <mergeCell ref="N17:O17"/>
    <mergeCell ref="P17:Q17"/>
    <mergeCell ref="R17:S17"/>
    <mergeCell ref="B16:G16"/>
    <mergeCell ref="H16:I16"/>
    <mergeCell ref="J16:K16"/>
    <mergeCell ref="L16:M16"/>
    <mergeCell ref="N16:O16"/>
    <mergeCell ref="P16:Q16"/>
    <mergeCell ref="R18:S18"/>
    <mergeCell ref="B19:G19"/>
    <mergeCell ref="H19:I19"/>
    <mergeCell ref="J19:K19"/>
    <mergeCell ref="L19:M19"/>
    <mergeCell ref="N19:O19"/>
    <mergeCell ref="P19:Q19"/>
    <mergeCell ref="R19:S19"/>
    <mergeCell ref="B18:G18"/>
    <mergeCell ref="H18:I18"/>
    <mergeCell ref="J18:K18"/>
    <mergeCell ref="L18:M18"/>
    <mergeCell ref="N18:O18"/>
    <mergeCell ref="P18:Q18"/>
    <mergeCell ref="R20:S20"/>
    <mergeCell ref="B22:G22"/>
    <mergeCell ref="B23:G23"/>
    <mergeCell ref="B24:G24"/>
    <mergeCell ref="B25:G25"/>
    <mergeCell ref="B26:G26"/>
    <mergeCell ref="B20:G20"/>
    <mergeCell ref="H20:I20"/>
    <mergeCell ref="J20:K20"/>
    <mergeCell ref="L20:M20"/>
    <mergeCell ref="N20:O20"/>
    <mergeCell ref="P20:Q20"/>
    <mergeCell ref="B33:G33"/>
    <mergeCell ref="C34:G34"/>
    <mergeCell ref="C35:G35"/>
    <mergeCell ref="C36:G36"/>
    <mergeCell ref="C37:G37"/>
    <mergeCell ref="C38:G38"/>
    <mergeCell ref="B27:G27"/>
    <mergeCell ref="B28:D28"/>
    <mergeCell ref="E28:G28"/>
    <mergeCell ref="A29:G29"/>
    <mergeCell ref="B31:G31"/>
    <mergeCell ref="B32:G32"/>
    <mergeCell ref="B48:G48"/>
    <mergeCell ref="B49:G49"/>
    <mergeCell ref="B50:G50"/>
    <mergeCell ref="B51:G51"/>
    <mergeCell ref="B52:G52"/>
    <mergeCell ref="B53:G53"/>
    <mergeCell ref="C39:G39"/>
    <mergeCell ref="A40:G40"/>
    <mergeCell ref="A41:G43"/>
    <mergeCell ref="B45:G45"/>
    <mergeCell ref="B46:G46"/>
    <mergeCell ref="B47:G47"/>
    <mergeCell ref="O57:O60"/>
    <mergeCell ref="Q57:Q60"/>
    <mergeCell ref="S57:S60"/>
    <mergeCell ref="B58:G58"/>
    <mergeCell ref="B59:G59"/>
    <mergeCell ref="B60:G60"/>
    <mergeCell ref="A54:G54"/>
    <mergeCell ref="B56:G56"/>
    <mergeCell ref="B57:G57"/>
    <mergeCell ref="I57:I60"/>
    <mergeCell ref="K57:K60"/>
    <mergeCell ref="M57:M60"/>
    <mergeCell ref="S61:S64"/>
    <mergeCell ref="B62:G62"/>
    <mergeCell ref="B63:G63"/>
    <mergeCell ref="B64:G64"/>
    <mergeCell ref="B65:G65"/>
    <mergeCell ref="B66:G66"/>
    <mergeCell ref="B61:G61"/>
    <mergeCell ref="I61:I64"/>
    <mergeCell ref="K61:K64"/>
    <mergeCell ref="M61:M64"/>
    <mergeCell ref="O61:O64"/>
    <mergeCell ref="Q61:Q64"/>
    <mergeCell ref="B73:G73"/>
    <mergeCell ref="A74:G74"/>
    <mergeCell ref="B76:G76"/>
    <mergeCell ref="B77:G77"/>
    <mergeCell ref="B78:G78"/>
    <mergeCell ref="B79:G79"/>
    <mergeCell ref="B67:G67"/>
    <mergeCell ref="B68:G68"/>
    <mergeCell ref="B69:G69"/>
    <mergeCell ref="B70:G70"/>
    <mergeCell ref="B71:G71"/>
    <mergeCell ref="B72:G72"/>
    <mergeCell ref="B87:G87"/>
    <mergeCell ref="B88:G88"/>
    <mergeCell ref="A89:G89"/>
    <mergeCell ref="A90:G93"/>
    <mergeCell ref="B96:G96"/>
    <mergeCell ref="B97:G97"/>
    <mergeCell ref="A80:G80"/>
    <mergeCell ref="B82:G82"/>
    <mergeCell ref="B83:G83"/>
    <mergeCell ref="B84:G84"/>
    <mergeCell ref="B85:G85"/>
    <mergeCell ref="B86:G86"/>
    <mergeCell ref="B104:G104"/>
    <mergeCell ref="B105:G105"/>
    <mergeCell ref="B106:G106"/>
    <mergeCell ref="B107:G107"/>
    <mergeCell ref="B108:G108"/>
    <mergeCell ref="A109:G109"/>
    <mergeCell ref="B98:G98"/>
    <mergeCell ref="B99:G99"/>
    <mergeCell ref="B100:G100"/>
    <mergeCell ref="B101:G101"/>
    <mergeCell ref="B102:G102"/>
    <mergeCell ref="B103:G103"/>
    <mergeCell ref="A117:G117"/>
    <mergeCell ref="B119:G119"/>
    <mergeCell ref="B120:G120"/>
    <mergeCell ref="B121:G121"/>
    <mergeCell ref="B122:G122"/>
    <mergeCell ref="B123:G123"/>
    <mergeCell ref="B110:G110"/>
    <mergeCell ref="B111:G111"/>
    <mergeCell ref="A112:G112"/>
    <mergeCell ref="B114:G114"/>
    <mergeCell ref="B115:G115"/>
    <mergeCell ref="B116:G116"/>
    <mergeCell ref="A130:G135"/>
    <mergeCell ref="B137:G137"/>
    <mergeCell ref="B138:G138"/>
    <mergeCell ref="B139:G139"/>
    <mergeCell ref="B140:G140"/>
    <mergeCell ref="B141:G141"/>
    <mergeCell ref="B124:G124"/>
    <mergeCell ref="B125:G125"/>
    <mergeCell ref="B126:G126"/>
    <mergeCell ref="B127:G127"/>
    <mergeCell ref="B128:G128"/>
    <mergeCell ref="A129:G129"/>
    <mergeCell ref="B156:G156"/>
    <mergeCell ref="B149:G149"/>
    <mergeCell ref="B150:G150"/>
    <mergeCell ref="B151:G151"/>
    <mergeCell ref="A152:G152"/>
    <mergeCell ref="B153:G153"/>
    <mergeCell ref="A154:G154"/>
    <mergeCell ref="B142:G142"/>
    <mergeCell ref="B143:G143"/>
    <mergeCell ref="A144:G144"/>
    <mergeCell ref="A146:G146"/>
    <mergeCell ref="B147:G147"/>
    <mergeCell ref="B148:G148"/>
  </mergeCells>
  <pageMargins left="0.511811024" right="0.511811024" top="0.78740157500000008" bottom="0.78740157500000008" header="0.31496062000000008" footer="0.31496062000000008"/>
  <pageSetup paperSize="9" scale="65" fitToWidth="0"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F226A-0E07-47D1-8939-09AB406E6F69}">
  <dimension ref="A1:S273"/>
  <sheetViews>
    <sheetView topLeftCell="A97" zoomScaleNormal="100" workbookViewId="0">
      <selection activeCell="I124" sqref="I124"/>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9.1796875" style="35" bestFit="1" customWidth="1"/>
    <col min="8" max="8" width="15.81640625" style="35" bestFit="1" customWidth="1"/>
    <col min="9" max="9" width="13.54296875" style="189" bestFit="1" customWidth="1"/>
    <col min="10" max="10" width="11.7265625" style="35" customWidth="1"/>
    <col min="11" max="16384" width="11.7265625" style="35"/>
  </cols>
  <sheetData>
    <row r="1" spans="1:9" ht="59.5" customHeight="1">
      <c r="A1" s="347" t="s">
        <v>261</v>
      </c>
      <c r="B1" s="348"/>
      <c r="C1" s="348"/>
      <c r="D1" s="348"/>
      <c r="E1" s="348"/>
      <c r="F1" s="348"/>
      <c r="G1" s="348"/>
      <c r="H1" s="348"/>
      <c r="I1" s="348"/>
    </row>
    <row r="2" spans="1:9" ht="12.75" customHeight="1">
      <c r="A2" s="349" t="s">
        <v>54</v>
      </c>
      <c r="B2" s="349"/>
      <c r="C2" s="349"/>
      <c r="D2" s="349"/>
      <c r="E2" s="349"/>
      <c r="F2" s="349"/>
      <c r="G2" s="349"/>
      <c r="H2" s="349"/>
      <c r="I2" s="349"/>
    </row>
    <row r="3" spans="1:9" ht="12.75" customHeight="1">
      <c r="A3" s="349" t="s">
        <v>55</v>
      </c>
      <c r="B3" s="349"/>
      <c r="C3" s="349"/>
      <c r="D3" s="349"/>
      <c r="E3" s="349"/>
      <c r="F3" s="349"/>
      <c r="G3" s="349"/>
      <c r="H3" s="349"/>
      <c r="I3" s="349"/>
    </row>
    <row r="4" spans="1:9" ht="12.75" customHeight="1">
      <c r="A4" s="350" t="s">
        <v>56</v>
      </c>
      <c r="B4" s="350"/>
      <c r="C4" s="350"/>
      <c r="D4" s="350"/>
      <c r="E4" s="350"/>
      <c r="F4" s="350"/>
      <c r="G4" s="350"/>
      <c r="H4" s="350"/>
      <c r="I4" s="350"/>
    </row>
    <row r="5" spans="1:9" ht="12.75" customHeight="1">
      <c r="A5" s="351"/>
      <c r="B5" s="351"/>
      <c r="C5" s="351"/>
      <c r="D5" s="351"/>
      <c r="E5" s="351"/>
      <c r="F5" s="351"/>
      <c r="G5" s="351"/>
      <c r="H5" s="351"/>
      <c r="I5" s="351"/>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LICITAÇÃO'!$A$4</f>
        <v>44344</v>
      </c>
      <c r="I7" s="346"/>
    </row>
    <row r="8" spans="1:9" ht="12.75" customHeight="1">
      <c r="A8" s="36" t="s">
        <v>60</v>
      </c>
      <c r="B8" s="286" t="s">
        <v>61</v>
      </c>
      <c r="C8" s="286"/>
      <c r="D8" s="286"/>
      <c r="E8" s="286"/>
      <c r="F8" s="286"/>
      <c r="G8" s="286"/>
      <c r="H8" s="345" t="str">
        <f>'DADOS BÁSICOS LICITAÇÃO'!A8</f>
        <v>Curitiba/PR</v>
      </c>
      <c r="I8" s="345"/>
    </row>
    <row r="9" spans="1:9" ht="12.75" customHeight="1">
      <c r="A9" s="36" t="s">
        <v>62</v>
      </c>
      <c r="B9" s="286" t="s">
        <v>63</v>
      </c>
      <c r="C9" s="286"/>
      <c r="D9" s="286"/>
      <c r="E9" s="286"/>
      <c r="F9" s="286"/>
      <c r="G9" s="286"/>
      <c r="H9" s="344" t="str">
        <f>'DADOS BÁSICOS LICITAÇÃO'!D8</f>
        <v>PR000326/2021</v>
      </c>
      <c r="I9" s="344"/>
    </row>
    <row r="10" spans="1:9" ht="12.75" customHeight="1">
      <c r="A10" s="36" t="s">
        <v>64</v>
      </c>
      <c r="B10" s="286" t="s">
        <v>65</v>
      </c>
      <c r="C10" s="286"/>
      <c r="D10" s="286"/>
      <c r="E10" s="286"/>
      <c r="F10" s="286"/>
      <c r="G10" s="286"/>
      <c r="H10" s="344">
        <f>'DADOS BÁSICOS LICITAÇÃO'!$E$17</f>
        <v>12</v>
      </c>
      <c r="I10" s="344"/>
    </row>
    <row r="11" spans="1:9" ht="12.75" customHeight="1">
      <c r="A11" s="36" t="s">
        <v>66</v>
      </c>
      <c r="B11" s="286" t="s">
        <v>67</v>
      </c>
      <c r="C11" s="286"/>
      <c r="D11" s="286"/>
      <c r="E11" s="286"/>
      <c r="F11" s="286"/>
      <c r="G11" s="286"/>
      <c r="H11" s="344">
        <f>'DADOS BÁSICOS LICITAÇÃO'!B8</f>
        <v>46</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LICITAÇÃO'!$A$17</f>
        <v>4221-05</v>
      </c>
      <c r="I14" s="342"/>
    </row>
    <row r="15" spans="1:9" ht="15" customHeight="1">
      <c r="A15" s="36">
        <v>4</v>
      </c>
      <c r="B15" s="286" t="s">
        <v>73</v>
      </c>
      <c r="C15" s="286"/>
      <c r="D15" s="286"/>
      <c r="E15" s="286"/>
      <c r="F15" s="286"/>
      <c r="G15" s="286"/>
      <c r="H15" s="342" t="str">
        <f>'DADOS BÁSICOS LICITAÇÃO'!$B$17</f>
        <v>Recepcionista</v>
      </c>
      <c r="I15" s="342"/>
    </row>
    <row r="16" spans="1:9" ht="12.75" customHeight="1" thickBot="1">
      <c r="A16" s="41">
        <v>5</v>
      </c>
      <c r="B16" s="286" t="s">
        <v>74</v>
      </c>
      <c r="C16" s="286"/>
      <c r="D16" s="286"/>
      <c r="E16" s="286"/>
      <c r="F16" s="286"/>
      <c r="G16" s="286"/>
      <c r="H16" s="341">
        <f>'DADOS BÁSICOS LICITAÇÃO'!E8</f>
        <v>44228</v>
      </c>
      <c r="I16" s="341"/>
    </row>
    <row r="17" spans="1:19" ht="31.5" customHeight="1" thickBot="1">
      <c r="A17" s="36">
        <v>3</v>
      </c>
      <c r="B17" s="286" t="s">
        <v>72</v>
      </c>
      <c r="C17" s="286"/>
      <c r="D17" s="286"/>
      <c r="E17" s="286"/>
      <c r="F17" s="286"/>
      <c r="G17" s="302"/>
      <c r="H17" s="339">
        <f>'DADOS BÁSICOS LICITAÇÃO'!H8</f>
        <v>1516.66</v>
      </c>
      <c r="I17" s="340"/>
      <c r="J17" s="42"/>
      <c r="K17" s="42"/>
      <c r="L17" s="42"/>
      <c r="M17" s="42"/>
      <c r="N17" s="42"/>
      <c r="O17" s="42"/>
      <c r="P17" s="42"/>
      <c r="Q17" s="42"/>
      <c r="R17" s="42"/>
      <c r="S17" s="42"/>
    </row>
    <row r="18" spans="1:19" ht="12.75" customHeight="1">
      <c r="A18" s="43">
        <v>6</v>
      </c>
      <c r="B18" s="284" t="s">
        <v>233</v>
      </c>
      <c r="C18" s="284"/>
      <c r="D18" s="284"/>
      <c r="E18" s="284"/>
      <c r="F18" s="284"/>
      <c r="G18" s="284"/>
      <c r="H18" s="338">
        <f>'DADOS BÁSICOS LICITAÇÃO'!G8</f>
        <v>220</v>
      </c>
      <c r="I18" s="338"/>
    </row>
    <row r="19" spans="1:19" ht="12.75" customHeight="1">
      <c r="A19" s="43">
        <v>6</v>
      </c>
      <c r="B19" s="303" t="s">
        <v>234</v>
      </c>
      <c r="C19" s="303"/>
      <c r="D19" s="303"/>
      <c r="E19" s="303"/>
      <c r="F19" s="303"/>
      <c r="G19" s="284"/>
      <c r="H19" s="336">
        <f>'DADOS BÁSICOS LICITAÇÃO'!$C$17</f>
        <v>200</v>
      </c>
      <c r="I19" s="337"/>
    </row>
    <row r="20" spans="1:19" ht="12.75" customHeight="1">
      <c r="A20" s="43">
        <v>7</v>
      </c>
      <c r="B20" s="284" t="s">
        <v>75</v>
      </c>
      <c r="C20" s="284"/>
      <c r="D20" s="284"/>
      <c r="E20" s="284"/>
      <c r="F20" s="284"/>
      <c r="G20" s="284"/>
      <c r="H20" s="336">
        <f>'DADOS BÁSICOS LICITAÇÃO'!$F$17</f>
        <v>22</v>
      </c>
      <c r="I20" s="337"/>
    </row>
    <row r="21" spans="1:19">
      <c r="A21" s="44" t="s">
        <v>76</v>
      </c>
      <c r="B21" s="38"/>
      <c r="C21" s="38"/>
      <c r="D21" s="38"/>
      <c r="E21" s="38"/>
      <c r="F21" s="38"/>
      <c r="G21" s="38"/>
      <c r="H21" s="39"/>
      <c r="I21" s="40"/>
    </row>
    <row r="22" spans="1:19" ht="12.75" customHeight="1">
      <c r="A22" s="45">
        <v>1</v>
      </c>
      <c r="B22" s="288" t="s">
        <v>77</v>
      </c>
      <c r="C22" s="288"/>
      <c r="D22" s="288"/>
      <c r="E22" s="288"/>
      <c r="F22" s="288"/>
      <c r="G22" s="288"/>
      <c r="H22" s="46" t="s">
        <v>78</v>
      </c>
      <c r="I22" s="47" t="s">
        <v>79</v>
      </c>
    </row>
    <row r="23" spans="1:19" ht="15.5" customHeight="1">
      <c r="A23" s="36" t="s">
        <v>58</v>
      </c>
      <c r="B23" s="286" t="s">
        <v>235</v>
      </c>
      <c r="C23" s="286"/>
      <c r="D23" s="286"/>
      <c r="E23" s="286"/>
      <c r="F23" s="286"/>
      <c r="G23" s="286"/>
      <c r="H23" s="48"/>
      <c r="I23" s="49">
        <f>H17/'DADOS BÁSICOS LICITAÇÃO'!G8*'MEMÓRIA DE CÁLCULO REF 1º ANO'!H19</f>
        <v>1378.78</v>
      </c>
      <c r="J23" s="42"/>
      <c r="K23" s="42"/>
      <c r="L23" s="42"/>
      <c r="M23" s="42"/>
      <c r="N23" s="42"/>
      <c r="O23" s="42"/>
      <c r="P23" s="42"/>
      <c r="Q23" s="42"/>
      <c r="R23" s="42"/>
      <c r="S23" s="42"/>
    </row>
    <row r="24" spans="1:19" ht="12.75" customHeight="1">
      <c r="A24" s="36" t="s">
        <v>60</v>
      </c>
      <c r="B24" s="335" t="s">
        <v>80</v>
      </c>
      <c r="C24" s="335"/>
      <c r="D24" s="335"/>
      <c r="E24" s="335"/>
      <c r="F24" s="335"/>
      <c r="G24" s="335"/>
      <c r="H24" s="50">
        <v>0.3</v>
      </c>
      <c r="I24" s="51">
        <f>I23*H24</f>
        <v>413.63</v>
      </c>
      <c r="J24" s="42"/>
      <c r="K24" s="42"/>
      <c r="L24" s="42"/>
      <c r="M24" s="42"/>
      <c r="N24" s="42"/>
      <c r="O24" s="42"/>
      <c r="P24" s="42"/>
      <c r="Q24" s="42"/>
      <c r="R24" s="42"/>
      <c r="S24" s="42"/>
    </row>
    <row r="25" spans="1:19" s="55" customFormat="1" ht="12.75" customHeight="1">
      <c r="A25" s="52" t="s">
        <v>62</v>
      </c>
      <c r="B25" s="335" t="s">
        <v>81</v>
      </c>
      <c r="C25" s="335"/>
      <c r="D25" s="335"/>
      <c r="E25" s="335"/>
      <c r="F25" s="335"/>
      <c r="G25" s="335"/>
      <c r="H25" s="53"/>
      <c r="I25" s="54"/>
    </row>
    <row r="26" spans="1:19" s="55" customFormat="1" ht="12.75" customHeight="1">
      <c r="A26" s="52" t="s">
        <v>64</v>
      </c>
      <c r="B26" s="286" t="s">
        <v>82</v>
      </c>
      <c r="C26" s="286"/>
      <c r="D26" s="286"/>
      <c r="E26" s="286"/>
      <c r="F26" s="286"/>
      <c r="G26" s="286"/>
      <c r="H26" s="56"/>
      <c r="I26" s="57"/>
    </row>
    <row r="27" spans="1:19" s="55" customFormat="1" ht="12.75" customHeight="1">
      <c r="A27" s="52" t="s">
        <v>66</v>
      </c>
      <c r="B27" s="286" t="s">
        <v>83</v>
      </c>
      <c r="C27" s="286"/>
      <c r="D27" s="286"/>
      <c r="E27" s="326"/>
      <c r="F27" s="326"/>
      <c r="G27" s="326"/>
      <c r="H27" s="58"/>
      <c r="I27" s="57"/>
    </row>
    <row r="28" spans="1:19" s="55" customFormat="1" ht="36.5" customHeight="1">
      <c r="A28" s="59" t="s">
        <v>84</v>
      </c>
      <c r="B28" s="327" t="s">
        <v>171</v>
      </c>
      <c r="C28" s="328"/>
      <c r="D28" s="328"/>
      <c r="E28" s="329" t="s">
        <v>172</v>
      </c>
      <c r="F28" s="330"/>
      <c r="G28" s="331"/>
      <c r="H28" s="60">
        <f>'DADOS BÁSICOS LICITAÇÃO'!$C$22</f>
        <v>1.05</v>
      </c>
      <c r="I28" s="49">
        <f>(((I23+I24)/H19)*(1.5))*H28</f>
        <v>14.12</v>
      </c>
      <c r="J28" s="42"/>
      <c r="K28" s="42"/>
      <c r="L28" s="42"/>
      <c r="M28" s="42"/>
      <c r="N28" s="42"/>
      <c r="O28" s="42"/>
      <c r="P28" s="42"/>
      <c r="Q28" s="42"/>
      <c r="R28" s="42"/>
      <c r="S28" s="42"/>
    </row>
    <row r="29" spans="1:19" s="55" customFormat="1" ht="12.75" customHeight="1">
      <c r="A29" s="332" t="s">
        <v>85</v>
      </c>
      <c r="B29" s="332"/>
      <c r="C29" s="332"/>
      <c r="D29" s="332"/>
      <c r="E29" s="333"/>
      <c r="F29" s="333"/>
      <c r="G29" s="333"/>
      <c r="H29" s="61"/>
      <c r="I29" s="62">
        <f>SUM(I23:I28)</f>
        <v>1806.53</v>
      </c>
    </row>
    <row r="30" spans="1:19">
      <c r="A30" s="37" t="s">
        <v>86</v>
      </c>
      <c r="B30" s="63"/>
      <c r="C30" s="63"/>
      <c r="D30" s="63"/>
      <c r="E30" s="63"/>
      <c r="F30" s="63"/>
      <c r="G30" s="63"/>
      <c r="H30" s="64"/>
      <c r="I30" s="65"/>
    </row>
    <row r="31" spans="1:19" ht="18" customHeight="1">
      <c r="A31" s="66" t="s">
        <v>87</v>
      </c>
      <c r="B31" s="334" t="s">
        <v>88</v>
      </c>
      <c r="C31" s="334"/>
      <c r="D31" s="334"/>
      <c r="E31" s="334"/>
      <c r="F31" s="334"/>
      <c r="G31" s="334"/>
      <c r="H31" s="67" t="s">
        <v>89</v>
      </c>
      <c r="I31" s="68" t="s">
        <v>79</v>
      </c>
    </row>
    <row r="32" spans="1:19">
      <c r="A32" s="69" t="s">
        <v>58</v>
      </c>
      <c r="B32" s="286" t="s">
        <v>90</v>
      </c>
      <c r="C32" s="286"/>
      <c r="D32" s="286"/>
      <c r="E32" s="286"/>
      <c r="F32" s="286"/>
      <c r="G32" s="286"/>
      <c r="H32" s="70">
        <f>1/12</f>
        <v>8.3299999999999999E-2</v>
      </c>
      <c r="I32" s="71">
        <f>I$29*H$32</f>
        <v>150.47999999999999</v>
      </c>
    </row>
    <row r="33" spans="1:19">
      <c r="A33" s="69" t="s">
        <v>60</v>
      </c>
      <c r="B33" s="286" t="s">
        <v>91</v>
      </c>
      <c r="C33" s="286"/>
      <c r="D33" s="286"/>
      <c r="E33" s="286"/>
      <c r="F33" s="286"/>
      <c r="G33" s="286"/>
      <c r="H33" s="70">
        <f>SUM(H34:H39)</f>
        <v>0.1111</v>
      </c>
      <c r="I33" s="71">
        <f>SUM(I34:I39)</f>
        <v>200.7</v>
      </c>
    </row>
    <row r="34" spans="1:19">
      <c r="A34" s="69"/>
      <c r="B34" s="69" t="s">
        <v>183</v>
      </c>
      <c r="C34" s="302" t="s">
        <v>188</v>
      </c>
      <c r="D34" s="303"/>
      <c r="E34" s="303"/>
      <c r="F34" s="303"/>
      <c r="G34" s="284"/>
      <c r="H34" s="70">
        <f>(1/3)/12</f>
        <v>2.7799999999999998E-2</v>
      </c>
      <c r="I34" s="71">
        <f t="shared" ref="I34:I39" si="0">I$29*H34</f>
        <v>50.22</v>
      </c>
    </row>
    <row r="35" spans="1:19">
      <c r="A35" s="72"/>
      <c r="B35" s="72" t="s">
        <v>184</v>
      </c>
      <c r="C35" s="320" t="s">
        <v>205</v>
      </c>
      <c r="D35" s="321"/>
      <c r="E35" s="321"/>
      <c r="F35" s="321"/>
      <c r="G35" s="322"/>
      <c r="H35" s="73">
        <f>1/12</f>
        <v>8.3299999999999999E-2</v>
      </c>
      <c r="I35" s="74">
        <f t="shared" si="0"/>
        <v>150.47999999999999</v>
      </c>
      <c r="J35" s="75"/>
      <c r="K35" s="75"/>
      <c r="L35" s="75"/>
      <c r="M35" s="75"/>
      <c r="N35" s="75"/>
      <c r="O35" s="75"/>
      <c r="P35" s="75"/>
      <c r="Q35" s="75"/>
      <c r="R35" s="75"/>
      <c r="S35" s="75"/>
    </row>
    <row r="36" spans="1:19">
      <c r="A36" s="72"/>
      <c r="B36" s="72" t="s">
        <v>266</v>
      </c>
      <c r="C36" s="320" t="s">
        <v>267</v>
      </c>
      <c r="D36" s="321"/>
      <c r="E36" s="321"/>
      <c r="F36" s="321"/>
      <c r="G36" s="322"/>
      <c r="H36" s="73">
        <v>0</v>
      </c>
      <c r="I36" s="74">
        <f t="shared" si="0"/>
        <v>0</v>
      </c>
      <c r="J36" s="75"/>
      <c r="K36" s="75"/>
      <c r="L36" s="75"/>
      <c r="M36" s="75"/>
      <c r="N36" s="75"/>
      <c r="O36" s="75"/>
      <c r="P36" s="75"/>
      <c r="Q36" s="75"/>
      <c r="R36" s="75"/>
      <c r="S36" s="75"/>
    </row>
    <row r="37" spans="1:19" ht="16.5" customHeight="1">
      <c r="A37" s="76"/>
      <c r="B37" s="76" t="s">
        <v>185</v>
      </c>
      <c r="C37" s="323" t="s">
        <v>206</v>
      </c>
      <c r="D37" s="324"/>
      <c r="E37" s="324"/>
      <c r="F37" s="324"/>
      <c r="G37" s="325"/>
      <c r="H37" s="77">
        <v>0</v>
      </c>
      <c r="I37" s="78">
        <f t="shared" si="0"/>
        <v>0</v>
      </c>
      <c r="J37" s="42"/>
      <c r="K37" s="42"/>
      <c r="L37" s="42"/>
      <c r="M37" s="42"/>
      <c r="N37" s="42"/>
      <c r="O37" s="42"/>
      <c r="P37" s="42"/>
      <c r="Q37" s="42"/>
      <c r="R37" s="42"/>
      <c r="S37" s="42"/>
    </row>
    <row r="38" spans="1:19" ht="16.5" customHeight="1">
      <c r="A38" s="76"/>
      <c r="B38" s="76" t="s">
        <v>186</v>
      </c>
      <c r="C38" s="323" t="s">
        <v>207</v>
      </c>
      <c r="D38" s="324"/>
      <c r="E38" s="324"/>
      <c r="F38" s="324"/>
      <c r="G38" s="325"/>
      <c r="H38" s="77">
        <v>0</v>
      </c>
      <c r="I38" s="78">
        <f t="shared" si="0"/>
        <v>0</v>
      </c>
      <c r="J38" s="42"/>
      <c r="K38" s="42"/>
      <c r="L38" s="42"/>
      <c r="M38" s="42"/>
      <c r="N38" s="42"/>
      <c r="O38" s="42"/>
      <c r="P38" s="42"/>
      <c r="Q38" s="42"/>
      <c r="R38" s="42"/>
      <c r="S38" s="42"/>
    </row>
    <row r="39" spans="1:19" ht="16.5" customHeight="1">
      <c r="A39" s="76"/>
      <c r="B39" s="76" t="s">
        <v>187</v>
      </c>
      <c r="C39" s="323" t="s">
        <v>208</v>
      </c>
      <c r="D39" s="324"/>
      <c r="E39" s="324"/>
      <c r="F39" s="324"/>
      <c r="G39" s="325"/>
      <c r="H39" s="77">
        <v>0</v>
      </c>
      <c r="I39" s="78">
        <f t="shared" si="0"/>
        <v>0</v>
      </c>
      <c r="J39" s="42"/>
      <c r="K39" s="42"/>
      <c r="L39" s="42"/>
      <c r="M39" s="42"/>
      <c r="N39" s="42"/>
      <c r="O39" s="42"/>
      <c r="P39" s="42"/>
      <c r="Q39" s="42"/>
      <c r="R39" s="42"/>
      <c r="S39" s="42"/>
    </row>
    <row r="40" spans="1:19">
      <c r="A40" s="287" t="s">
        <v>85</v>
      </c>
      <c r="B40" s="287"/>
      <c r="C40" s="287"/>
      <c r="D40" s="287"/>
      <c r="E40" s="287"/>
      <c r="F40" s="287"/>
      <c r="G40" s="287"/>
      <c r="H40" s="79">
        <f>SUM(H32:H33)</f>
        <v>0.19439999999999999</v>
      </c>
      <c r="I40" s="80">
        <f>SUM(I32:I33)</f>
        <v>351.18</v>
      </c>
    </row>
    <row r="41" spans="1:19">
      <c r="A41" s="304" t="s">
        <v>92</v>
      </c>
      <c r="B41" s="304"/>
      <c r="C41" s="304"/>
      <c r="D41" s="304"/>
      <c r="E41" s="304"/>
      <c r="F41" s="304"/>
      <c r="G41" s="304"/>
      <c r="H41" s="81" t="s">
        <v>93</v>
      </c>
      <c r="I41" s="82">
        <f>I29</f>
        <v>1806.53</v>
      </c>
    </row>
    <row r="42" spans="1:19">
      <c r="A42" s="304"/>
      <c r="B42" s="304"/>
      <c r="C42" s="304"/>
      <c r="D42" s="304"/>
      <c r="E42" s="304"/>
      <c r="F42" s="304"/>
      <c r="G42" s="304"/>
      <c r="H42" s="81" t="s">
        <v>99</v>
      </c>
      <c r="I42" s="82">
        <f>I40</f>
        <v>351.18</v>
      </c>
    </row>
    <row r="43" spans="1:19">
      <c r="A43" s="304"/>
      <c r="B43" s="304"/>
      <c r="C43" s="304"/>
      <c r="D43" s="304"/>
      <c r="E43" s="304"/>
      <c r="F43" s="304"/>
      <c r="G43" s="304"/>
      <c r="H43" s="81" t="s">
        <v>85</v>
      </c>
      <c r="I43" s="82">
        <f>SUM(I41:I42)</f>
        <v>2157.71</v>
      </c>
    </row>
    <row r="44" spans="1:19" ht="33" customHeight="1">
      <c r="A44" s="37" t="s">
        <v>105</v>
      </c>
      <c r="B44" s="63"/>
      <c r="C44" s="63"/>
      <c r="D44" s="63"/>
      <c r="E44" s="63"/>
      <c r="F44" s="63"/>
      <c r="G44" s="63"/>
      <c r="H44" s="64"/>
      <c r="I44" s="65"/>
    </row>
    <row r="45" spans="1:19" ht="19.5" customHeight="1">
      <c r="A45" s="83" t="s">
        <v>106</v>
      </c>
      <c r="B45" s="288" t="s">
        <v>107</v>
      </c>
      <c r="C45" s="288"/>
      <c r="D45" s="288"/>
      <c r="E45" s="288"/>
      <c r="F45" s="288"/>
      <c r="G45" s="288"/>
      <c r="H45" s="67" t="s">
        <v>89</v>
      </c>
      <c r="I45" s="84" t="s">
        <v>79</v>
      </c>
    </row>
    <row r="46" spans="1:19" ht="12.75" customHeight="1">
      <c r="A46" s="85" t="s">
        <v>58</v>
      </c>
      <c r="B46" s="286" t="s">
        <v>32</v>
      </c>
      <c r="C46" s="286"/>
      <c r="D46" s="286"/>
      <c r="E46" s="286"/>
      <c r="F46" s="286"/>
      <c r="G46" s="286"/>
      <c r="H46" s="50">
        <f>IF('DADOS BÁSICOS LICITAÇÃO'!$B$25="LUCRO PRESUMIDO",'DADOS BÁSICOS LICITAÇÃO'!$B$29,'DADOS BÁSICOS LICITAÇÃO'!$C$29)</f>
        <v>0.2</v>
      </c>
      <c r="I46" s="71">
        <f>I43*H46</f>
        <v>431.54</v>
      </c>
    </row>
    <row r="47" spans="1:19" ht="12.75" customHeight="1">
      <c r="A47" s="85" t="s">
        <v>60</v>
      </c>
      <c r="B47" s="286" t="s">
        <v>108</v>
      </c>
      <c r="C47" s="286"/>
      <c r="D47" s="286"/>
      <c r="E47" s="286"/>
      <c r="F47" s="286"/>
      <c r="G47" s="286"/>
      <c r="H47" s="50">
        <f>IF('DADOS BÁSICOS LICITAÇÃO'!$B$25="LUCRO PRESUMIDO",'DADOS BÁSICOS LICITAÇÃO'!$B$30,'DADOS BÁSICOS LICITAÇÃO'!$C$30)</f>
        <v>2.5000000000000001E-2</v>
      </c>
      <c r="I47" s="71">
        <f>I43*H47</f>
        <v>53.94</v>
      </c>
    </row>
    <row r="48" spans="1:19" ht="17.25" customHeight="1">
      <c r="A48" s="85" t="s">
        <v>62</v>
      </c>
      <c r="B48" s="286" t="s">
        <v>109</v>
      </c>
      <c r="C48" s="286"/>
      <c r="D48" s="286"/>
      <c r="E48" s="286"/>
      <c r="F48" s="286"/>
      <c r="G48" s="286"/>
      <c r="H48" s="50">
        <f>IF('DADOS BÁSICOS LICITAÇÃO'!$B$25="LUCRO PRESUMIDO",'DADOS BÁSICOS LICITAÇÃO'!$B$31,'DADOS BÁSICOS LICITAÇÃO'!$C$31)</f>
        <v>0.03</v>
      </c>
      <c r="I48" s="71">
        <f>I43*H48</f>
        <v>64.73</v>
      </c>
    </row>
    <row r="49" spans="1:10" ht="12.75" customHeight="1">
      <c r="A49" s="85" t="s">
        <v>64</v>
      </c>
      <c r="B49" s="286" t="s">
        <v>35</v>
      </c>
      <c r="C49" s="286"/>
      <c r="D49" s="286"/>
      <c r="E49" s="286"/>
      <c r="F49" s="286"/>
      <c r="G49" s="286"/>
      <c r="H49" s="50">
        <f>IF('DADOS BÁSICOS LICITAÇÃO'!$B$25="LUCRO PRESUMIDO",'DADOS BÁSICOS LICITAÇÃO'!$B$32,'DADOS BÁSICOS LICITAÇÃO'!$C$32)</f>
        <v>1.4999999999999999E-2</v>
      </c>
      <c r="I49" s="71">
        <f>I43*H49</f>
        <v>32.369999999999997</v>
      </c>
    </row>
    <row r="50" spans="1:10" ht="12.75" customHeight="1">
      <c r="A50" s="85" t="s">
        <v>66</v>
      </c>
      <c r="B50" s="286" t="s">
        <v>36</v>
      </c>
      <c r="C50" s="286"/>
      <c r="D50" s="286"/>
      <c r="E50" s="286"/>
      <c r="F50" s="286"/>
      <c r="G50" s="286"/>
      <c r="H50" s="50">
        <f>IF('DADOS BÁSICOS LICITAÇÃO'!$B$25="LUCRO PRESUMIDO",'DADOS BÁSICOS LICITAÇÃO'!$B$33,'DADOS BÁSICOS LICITAÇÃO'!$C$33)</f>
        <v>0.01</v>
      </c>
      <c r="I50" s="71">
        <f>I43*H50</f>
        <v>21.58</v>
      </c>
    </row>
    <row r="51" spans="1:10" ht="12.75" customHeight="1">
      <c r="A51" s="85" t="s">
        <v>84</v>
      </c>
      <c r="B51" s="286" t="s">
        <v>37</v>
      </c>
      <c r="C51" s="286"/>
      <c r="D51" s="286"/>
      <c r="E51" s="286"/>
      <c r="F51" s="286"/>
      <c r="G51" s="286"/>
      <c r="H51" s="50">
        <f>IF('DADOS BÁSICOS LICITAÇÃO'!$B$25="LUCRO PRESUMIDO",'DADOS BÁSICOS LICITAÇÃO'!$B$34,'DADOS BÁSICOS LICITAÇÃO'!$C$34)</f>
        <v>6.0000000000000001E-3</v>
      </c>
      <c r="I51" s="71">
        <f>I43*H51</f>
        <v>12.95</v>
      </c>
    </row>
    <row r="52" spans="1:10" ht="12.75" customHeight="1">
      <c r="A52" s="85" t="s">
        <v>110</v>
      </c>
      <c r="B52" s="286" t="s">
        <v>38</v>
      </c>
      <c r="C52" s="286"/>
      <c r="D52" s="286"/>
      <c r="E52" s="286"/>
      <c r="F52" s="286"/>
      <c r="G52" s="286"/>
      <c r="H52" s="50">
        <f>IF('DADOS BÁSICOS LICITAÇÃO'!$B$25="LUCRO PRESUMIDO",'DADOS BÁSICOS LICITAÇÃO'!$B$35,'DADOS BÁSICOS LICITAÇÃO'!$C$35)</f>
        <v>2E-3</v>
      </c>
      <c r="I52" s="71">
        <f>I43*H52</f>
        <v>4.32</v>
      </c>
    </row>
    <row r="53" spans="1:10" ht="12.75" customHeight="1">
      <c r="A53" s="86" t="s">
        <v>111</v>
      </c>
      <c r="B53" s="286" t="s">
        <v>39</v>
      </c>
      <c r="C53" s="286"/>
      <c r="D53" s="286"/>
      <c r="E53" s="286"/>
      <c r="F53" s="286"/>
      <c r="G53" s="286"/>
      <c r="H53" s="50">
        <f>IF('DADOS BÁSICOS LICITAÇÃO'!$B$25="LUCRO PRESUMIDO",'DADOS BÁSICOS LICITAÇÃO'!$B$36,'DADOS BÁSICOS LICITAÇÃO'!$C$36)</f>
        <v>0.08</v>
      </c>
      <c r="I53" s="71">
        <f>I43*H53</f>
        <v>172.62</v>
      </c>
    </row>
    <row r="54" spans="1:10" ht="18.75" customHeight="1">
      <c r="A54" s="287" t="s">
        <v>85</v>
      </c>
      <c r="B54" s="287"/>
      <c r="C54" s="287"/>
      <c r="D54" s="287"/>
      <c r="E54" s="287"/>
      <c r="F54" s="287"/>
      <c r="G54" s="287"/>
      <c r="H54" s="87">
        <f>SUM(H46:H53)</f>
        <v>0.36799999999999999</v>
      </c>
      <c r="I54" s="80">
        <f t="shared" ref="I54" si="1">SUM(I46:I53)</f>
        <v>794.05</v>
      </c>
    </row>
    <row r="55" spans="1:10" ht="33" customHeight="1">
      <c r="A55" s="88" t="s">
        <v>112</v>
      </c>
      <c r="B55" s="88"/>
      <c r="C55" s="88"/>
      <c r="D55" s="88"/>
      <c r="E55" s="88"/>
      <c r="F55" s="88"/>
      <c r="G55" s="88"/>
      <c r="H55" s="89"/>
      <c r="I55" s="90"/>
    </row>
    <row r="56" spans="1:10" ht="17.25" customHeight="1">
      <c r="A56" s="83" t="s">
        <v>113</v>
      </c>
      <c r="B56" s="316" t="s">
        <v>114</v>
      </c>
      <c r="C56" s="316"/>
      <c r="D56" s="316"/>
      <c r="E56" s="316"/>
      <c r="F56" s="316"/>
      <c r="G56" s="316"/>
      <c r="H56" s="39"/>
      <c r="I56" s="91" t="s">
        <v>79</v>
      </c>
    </row>
    <row r="57" spans="1:10">
      <c r="A57" s="69" t="s">
        <v>58</v>
      </c>
      <c r="B57" s="294" t="s">
        <v>115</v>
      </c>
      <c r="C57" s="294"/>
      <c r="D57" s="294"/>
      <c r="E57" s="294"/>
      <c r="F57" s="294"/>
      <c r="G57" s="294"/>
      <c r="H57" s="92"/>
      <c r="I57" s="317">
        <f>IF((H58*H59)-(I23*H60)&gt;0,((H58*H59)-(I23*H60)),0)</f>
        <v>115.27</v>
      </c>
    </row>
    <row r="58" spans="1:10" ht="24.75" customHeight="1">
      <c r="A58" s="69"/>
      <c r="B58" s="286" t="s">
        <v>116</v>
      </c>
      <c r="C58" s="286"/>
      <c r="D58" s="286"/>
      <c r="E58" s="286"/>
      <c r="F58" s="286"/>
      <c r="G58" s="286"/>
      <c r="H58" s="93">
        <f>'DADOS BÁSICOS LICITAÇÃO'!P8</f>
        <v>4.5</v>
      </c>
      <c r="I58" s="318"/>
    </row>
    <row r="59" spans="1:10" ht="12.75" customHeight="1">
      <c r="A59" s="94"/>
      <c r="B59" s="286" t="s">
        <v>117</v>
      </c>
      <c r="C59" s="286"/>
      <c r="D59" s="286"/>
      <c r="E59" s="286"/>
      <c r="F59" s="286"/>
      <c r="G59" s="286"/>
      <c r="H59" s="95">
        <f>'DADOS BÁSICOS LICITAÇÃO'!$O8</f>
        <v>44</v>
      </c>
      <c r="I59" s="318"/>
    </row>
    <row r="60" spans="1:10" ht="12.75" customHeight="1">
      <c r="A60" s="69"/>
      <c r="B60" s="286" t="s">
        <v>118</v>
      </c>
      <c r="C60" s="286"/>
      <c r="D60" s="286"/>
      <c r="E60" s="286"/>
      <c r="F60" s="286"/>
      <c r="G60" s="286"/>
      <c r="H60" s="96">
        <v>0.06</v>
      </c>
      <c r="I60" s="319"/>
    </row>
    <row r="61" spans="1:10" ht="15" customHeight="1">
      <c r="A61" s="69" t="s">
        <v>60</v>
      </c>
      <c r="B61" s="286" t="s">
        <v>119</v>
      </c>
      <c r="C61" s="286"/>
      <c r="D61" s="286"/>
      <c r="E61" s="286"/>
      <c r="F61" s="286"/>
      <c r="G61" s="286"/>
      <c r="H61" s="97"/>
      <c r="I61" s="313">
        <f>H62-(H62*H64)</f>
        <v>360</v>
      </c>
    </row>
    <row r="62" spans="1:10" ht="15" customHeight="1">
      <c r="A62" s="69"/>
      <c r="B62" s="286" t="s">
        <v>256</v>
      </c>
      <c r="C62" s="286"/>
      <c r="D62" s="286"/>
      <c r="E62" s="286"/>
      <c r="F62" s="286"/>
      <c r="G62" s="286"/>
      <c r="H62" s="98">
        <f>'DADOS BÁSICOS LICITAÇÃO'!I8</f>
        <v>450</v>
      </c>
      <c r="I62" s="314"/>
      <c r="J62" s="99"/>
    </row>
    <row r="63" spans="1:10" ht="15" customHeight="1">
      <c r="A63" s="69"/>
      <c r="B63" s="286" t="s">
        <v>258</v>
      </c>
      <c r="C63" s="286"/>
      <c r="D63" s="286"/>
      <c r="E63" s="286"/>
      <c r="F63" s="286"/>
      <c r="G63" s="286"/>
      <c r="H63" s="100"/>
      <c r="I63" s="314"/>
      <c r="J63" s="99"/>
    </row>
    <row r="64" spans="1:10" ht="15" customHeight="1">
      <c r="A64" s="69"/>
      <c r="B64" s="286" t="s">
        <v>257</v>
      </c>
      <c r="C64" s="286"/>
      <c r="D64" s="286"/>
      <c r="E64" s="286"/>
      <c r="F64" s="286"/>
      <c r="G64" s="286"/>
      <c r="H64" s="101">
        <f>'DADOS BÁSICOS LICITAÇÃO'!$N8</f>
        <v>0.2</v>
      </c>
      <c r="I64" s="315"/>
    </row>
    <row r="65" spans="1:19" ht="17.25" customHeight="1">
      <c r="A65" s="69" t="s">
        <v>62</v>
      </c>
      <c r="B65" s="286" t="str">
        <f>'DADOS BÁSICOS LICITAÇÃO'!$J$7</f>
        <v>Auxílio Saúde</v>
      </c>
      <c r="C65" s="286"/>
      <c r="D65" s="286"/>
      <c r="E65" s="286"/>
      <c r="F65" s="286"/>
      <c r="G65" s="286"/>
      <c r="H65" s="102"/>
      <c r="I65" s="57">
        <f>'DADOS BÁSICOS LICITAÇÃO'!$J$8</f>
        <v>64</v>
      </c>
    </row>
    <row r="66" spans="1:19" ht="16" customHeight="1">
      <c r="A66" s="69" t="s">
        <v>64</v>
      </c>
      <c r="B66" s="286" t="str">
        <f>'DADOS BÁSICOS LICITAÇÃO'!$K$7</f>
        <v>Benefício Familiar</v>
      </c>
      <c r="C66" s="286"/>
      <c r="D66" s="286"/>
      <c r="E66" s="286"/>
      <c r="F66" s="286"/>
      <c r="G66" s="286"/>
      <c r="H66" s="103"/>
      <c r="I66" s="104">
        <f>'DADOS BÁSICOS LICITAÇÃO'!$K$8</f>
        <v>21</v>
      </c>
    </row>
    <row r="67" spans="1:19" ht="15" customHeight="1">
      <c r="A67" s="69" t="s">
        <v>66</v>
      </c>
      <c r="B67" s="286" t="str">
        <f>'DADOS BÁSICOS LICITAÇÃO'!$L$7</f>
        <v>Fundo de Fomação Profissional</v>
      </c>
      <c r="C67" s="286"/>
      <c r="D67" s="286"/>
      <c r="E67" s="286"/>
      <c r="F67" s="286"/>
      <c r="G67" s="286"/>
      <c r="H67" s="102"/>
      <c r="I67" s="104">
        <f>'DADOS BÁSICOS LICITAÇÃO'!$L$8</f>
        <v>21</v>
      </c>
    </row>
    <row r="68" spans="1:19">
      <c r="A68" s="72" t="s">
        <v>84</v>
      </c>
      <c r="B68" s="312" t="s">
        <v>200</v>
      </c>
      <c r="C68" s="312"/>
      <c r="D68" s="312"/>
      <c r="E68" s="312"/>
      <c r="F68" s="312"/>
      <c r="G68" s="312"/>
      <c r="H68" s="105">
        <f>1/12</f>
        <v>8.3299999999999999E-2</v>
      </c>
      <c r="I68" s="106">
        <f>I61*H68</f>
        <v>29.99</v>
      </c>
      <c r="J68" s="75"/>
      <c r="K68" s="75"/>
      <c r="L68" s="75"/>
      <c r="M68" s="75"/>
      <c r="N68" s="75"/>
      <c r="O68" s="75"/>
      <c r="P68" s="75"/>
      <c r="Q68" s="75"/>
      <c r="R68" s="75"/>
      <c r="S68" s="75"/>
    </row>
    <row r="69" spans="1:19">
      <c r="A69" s="72" t="s">
        <v>268</v>
      </c>
      <c r="B69" s="312" t="s">
        <v>269</v>
      </c>
      <c r="C69" s="312"/>
      <c r="D69" s="312"/>
      <c r="E69" s="312"/>
      <c r="F69" s="312"/>
      <c r="G69" s="312"/>
      <c r="H69" s="105">
        <v>0</v>
      </c>
      <c r="I69" s="107">
        <f>I61*H69</f>
        <v>0</v>
      </c>
      <c r="J69" s="42"/>
      <c r="K69" s="42"/>
      <c r="L69" s="42"/>
      <c r="M69" s="42"/>
      <c r="N69" s="42"/>
      <c r="O69" s="42"/>
      <c r="P69" s="42"/>
      <c r="Q69" s="42"/>
      <c r="R69" s="42"/>
      <c r="S69" s="42"/>
    </row>
    <row r="70" spans="1:19" ht="18" customHeight="1">
      <c r="A70" s="108" t="s">
        <v>110</v>
      </c>
      <c r="B70" s="297" t="s">
        <v>201</v>
      </c>
      <c r="C70" s="297"/>
      <c r="D70" s="297"/>
      <c r="E70" s="297"/>
      <c r="F70" s="297"/>
      <c r="G70" s="297"/>
      <c r="H70" s="109">
        <v>0</v>
      </c>
      <c r="I70" s="110">
        <f>I61*H70</f>
        <v>0</v>
      </c>
      <c r="J70" s="42"/>
      <c r="K70" s="42"/>
      <c r="L70" s="42"/>
      <c r="M70" s="42"/>
      <c r="N70" s="42"/>
      <c r="O70" s="42"/>
      <c r="P70" s="42"/>
      <c r="Q70" s="42"/>
      <c r="R70" s="42"/>
      <c r="S70" s="42"/>
    </row>
    <row r="71" spans="1:19" ht="18" customHeight="1">
      <c r="A71" s="76" t="s">
        <v>111</v>
      </c>
      <c r="B71" s="310" t="s">
        <v>202</v>
      </c>
      <c r="C71" s="310"/>
      <c r="D71" s="310"/>
      <c r="E71" s="310"/>
      <c r="F71" s="310"/>
      <c r="G71" s="310"/>
      <c r="H71" s="111">
        <v>0</v>
      </c>
      <c r="I71" s="78">
        <f>I65*H71</f>
        <v>0</v>
      </c>
      <c r="J71" s="42"/>
      <c r="K71" s="42"/>
      <c r="L71" s="42"/>
      <c r="M71" s="42"/>
      <c r="N71" s="42"/>
      <c r="O71" s="42"/>
      <c r="P71" s="42"/>
      <c r="Q71" s="42"/>
      <c r="R71" s="42"/>
      <c r="S71" s="42"/>
    </row>
    <row r="72" spans="1:19" ht="30" customHeight="1">
      <c r="A72" s="76" t="s">
        <v>198</v>
      </c>
      <c r="B72" s="310" t="s">
        <v>203</v>
      </c>
      <c r="C72" s="310"/>
      <c r="D72" s="310"/>
      <c r="E72" s="310"/>
      <c r="F72" s="310"/>
      <c r="G72" s="310"/>
      <c r="H72" s="111">
        <v>0</v>
      </c>
      <c r="I72" s="112">
        <f>I66*H72</f>
        <v>0</v>
      </c>
      <c r="J72" s="42"/>
      <c r="K72" s="42"/>
      <c r="L72" s="42"/>
      <c r="M72" s="42"/>
      <c r="N72" s="42"/>
      <c r="O72" s="42"/>
      <c r="P72" s="42"/>
      <c r="Q72" s="42"/>
      <c r="R72" s="42"/>
      <c r="S72" s="42"/>
    </row>
    <row r="73" spans="1:19" ht="19.5" customHeight="1">
      <c r="A73" s="76" t="s">
        <v>199</v>
      </c>
      <c r="B73" s="310" t="s">
        <v>204</v>
      </c>
      <c r="C73" s="310"/>
      <c r="D73" s="310"/>
      <c r="E73" s="310"/>
      <c r="F73" s="310"/>
      <c r="G73" s="310"/>
      <c r="H73" s="111">
        <v>0</v>
      </c>
      <c r="I73" s="112">
        <f>I67*H73</f>
        <v>0</v>
      </c>
    </row>
    <row r="74" spans="1:19" ht="30.75" customHeight="1">
      <c r="A74" s="287" t="s">
        <v>85</v>
      </c>
      <c r="B74" s="287"/>
      <c r="C74" s="287"/>
      <c r="D74" s="287"/>
      <c r="E74" s="287"/>
      <c r="F74" s="287"/>
      <c r="G74" s="287"/>
      <c r="H74" s="113"/>
      <c r="I74" s="80">
        <f>SUM(I57:I73)</f>
        <v>611.26</v>
      </c>
    </row>
    <row r="75" spans="1:19" ht="20.25" customHeight="1">
      <c r="A75" s="37" t="s">
        <v>120</v>
      </c>
      <c r="B75" s="63"/>
      <c r="C75" s="63"/>
      <c r="D75" s="63"/>
      <c r="E75" s="63"/>
      <c r="F75" s="63"/>
      <c r="G75" s="63"/>
      <c r="H75" s="64"/>
      <c r="I75" s="65"/>
    </row>
    <row r="76" spans="1:19" ht="12.75" customHeight="1">
      <c r="A76" s="114">
        <v>2</v>
      </c>
      <c r="B76" s="311" t="s">
        <v>121</v>
      </c>
      <c r="C76" s="311"/>
      <c r="D76" s="311"/>
      <c r="E76" s="311"/>
      <c r="F76" s="311"/>
      <c r="G76" s="311"/>
      <c r="H76" s="115"/>
      <c r="I76" s="116" t="s">
        <v>79</v>
      </c>
    </row>
    <row r="77" spans="1:19" ht="12.75" customHeight="1">
      <c r="A77" s="69" t="s">
        <v>87</v>
      </c>
      <c r="B77" s="286" t="s">
        <v>88</v>
      </c>
      <c r="C77" s="286"/>
      <c r="D77" s="286"/>
      <c r="E77" s="286"/>
      <c r="F77" s="286"/>
      <c r="G77" s="286"/>
      <c r="H77" s="48"/>
      <c r="I77" s="71">
        <f>I40</f>
        <v>351.18</v>
      </c>
    </row>
    <row r="78" spans="1:19" ht="12.75" customHeight="1">
      <c r="A78" s="69" t="s">
        <v>106</v>
      </c>
      <c r="B78" s="286" t="s">
        <v>107</v>
      </c>
      <c r="C78" s="286"/>
      <c r="D78" s="286"/>
      <c r="E78" s="286"/>
      <c r="F78" s="286"/>
      <c r="G78" s="286"/>
      <c r="H78" s="48"/>
      <c r="I78" s="71">
        <f>I54</f>
        <v>794.05</v>
      </c>
    </row>
    <row r="79" spans="1:19">
      <c r="A79" s="69" t="s">
        <v>113</v>
      </c>
      <c r="B79" s="286" t="s">
        <v>114</v>
      </c>
      <c r="C79" s="286"/>
      <c r="D79" s="286"/>
      <c r="E79" s="286"/>
      <c r="F79" s="286"/>
      <c r="G79" s="286"/>
      <c r="H79" s="48"/>
      <c r="I79" s="71">
        <f>I74</f>
        <v>611.26</v>
      </c>
    </row>
    <row r="80" spans="1:19" ht="26.25" customHeight="1">
      <c r="A80" s="304" t="s">
        <v>85</v>
      </c>
      <c r="B80" s="304"/>
      <c r="C80" s="304"/>
      <c r="D80" s="304"/>
      <c r="E80" s="304"/>
      <c r="F80" s="304"/>
      <c r="G80" s="304"/>
      <c r="H80" s="117"/>
      <c r="I80" s="82">
        <f>SUM(I77:I79)</f>
        <v>1756.49</v>
      </c>
    </row>
    <row r="81" spans="1:19" ht="26.25" customHeight="1">
      <c r="A81" s="37" t="s">
        <v>122</v>
      </c>
      <c r="B81" s="118"/>
      <c r="C81" s="118"/>
      <c r="D81" s="118"/>
      <c r="E81" s="118"/>
      <c r="F81" s="118"/>
      <c r="G81" s="118"/>
      <c r="H81" s="64"/>
      <c r="I81" s="65"/>
    </row>
    <row r="82" spans="1:19" ht="16.5" customHeight="1">
      <c r="A82" s="119">
        <v>3</v>
      </c>
      <c r="B82" s="305" t="s">
        <v>123</v>
      </c>
      <c r="C82" s="305"/>
      <c r="D82" s="305"/>
      <c r="E82" s="305"/>
      <c r="F82" s="305"/>
      <c r="G82" s="305"/>
      <c r="H82" s="120" t="s">
        <v>89</v>
      </c>
      <c r="I82" s="47" t="s">
        <v>79</v>
      </c>
    </row>
    <row r="83" spans="1:19">
      <c r="A83" s="121" t="s">
        <v>58</v>
      </c>
      <c r="B83" s="306" t="s">
        <v>124</v>
      </c>
      <c r="C83" s="307"/>
      <c r="D83" s="307"/>
      <c r="E83" s="307"/>
      <c r="F83" s="307"/>
      <c r="G83" s="308"/>
      <c r="H83" s="122">
        <f>(100%/12)*'DADOS BÁSICOS LICITAÇÃO'!$Q8</f>
        <v>2.81E-2</v>
      </c>
      <c r="I83" s="123">
        <f>H83*I$43</f>
        <v>60.63</v>
      </c>
    </row>
    <row r="84" spans="1:19" ht="12.75" customHeight="1">
      <c r="A84" s="69" t="s">
        <v>60</v>
      </c>
      <c r="B84" s="294" t="s">
        <v>125</v>
      </c>
      <c r="C84" s="294"/>
      <c r="D84" s="294"/>
      <c r="E84" s="294"/>
      <c r="F84" s="294"/>
      <c r="G84" s="294"/>
      <c r="H84" s="124">
        <v>0.08</v>
      </c>
      <c r="I84" s="125">
        <f>I83*H84</f>
        <v>4.8499999999999996</v>
      </c>
    </row>
    <row r="85" spans="1:19" ht="17.25" customHeight="1">
      <c r="A85" s="126" t="s">
        <v>62</v>
      </c>
      <c r="B85" s="302" t="s">
        <v>126</v>
      </c>
      <c r="C85" s="303"/>
      <c r="D85" s="303"/>
      <c r="E85" s="303"/>
      <c r="F85" s="303"/>
      <c r="G85" s="284"/>
      <c r="H85" s="127">
        <f>8%*40%*'DADOS BÁSICOS LICITAÇÃO'!$Q8</f>
        <v>1.0800000000000001E-2</v>
      </c>
      <c r="I85" s="125">
        <f>I$43*H85</f>
        <v>23.3</v>
      </c>
      <c r="J85" s="42"/>
      <c r="K85" s="42"/>
      <c r="L85" s="42"/>
      <c r="M85" s="42"/>
      <c r="N85" s="42"/>
      <c r="O85" s="42"/>
      <c r="P85" s="42"/>
      <c r="Q85" s="42"/>
      <c r="R85" s="42"/>
      <c r="S85" s="42"/>
    </row>
    <row r="86" spans="1:19">
      <c r="A86" s="128" t="s">
        <v>64</v>
      </c>
      <c r="B86" s="309" t="s">
        <v>127</v>
      </c>
      <c r="C86" s="309"/>
      <c r="D86" s="309"/>
      <c r="E86" s="309"/>
      <c r="F86" s="309"/>
      <c r="G86" s="309"/>
      <c r="H86" s="129">
        <f>(7/30)/12</f>
        <v>1.9400000000000001E-2</v>
      </c>
      <c r="I86" s="130">
        <f>H86*I$43</f>
        <v>41.86</v>
      </c>
    </row>
    <row r="87" spans="1:19" ht="12.75" customHeight="1">
      <c r="A87" s="69" t="s">
        <v>66</v>
      </c>
      <c r="B87" s="294" t="s">
        <v>128</v>
      </c>
      <c r="C87" s="294"/>
      <c r="D87" s="294"/>
      <c r="E87" s="294"/>
      <c r="F87" s="294"/>
      <c r="G87" s="294"/>
      <c r="H87" s="124">
        <f>H54</f>
        <v>0.36799999999999999</v>
      </c>
      <c r="I87" s="131">
        <f>H87*I86</f>
        <v>15.4</v>
      </c>
    </row>
    <row r="88" spans="1:19">
      <c r="A88" s="126" t="s">
        <v>84</v>
      </c>
      <c r="B88" s="302" t="s">
        <v>129</v>
      </c>
      <c r="C88" s="303"/>
      <c r="D88" s="303"/>
      <c r="E88" s="303"/>
      <c r="F88" s="303"/>
      <c r="G88" s="284"/>
      <c r="H88" s="127">
        <f>8%*40%*'DADOS BÁSICOS LICITAÇÃO'!$R8</f>
        <v>1.0800000000000001E-2</v>
      </c>
      <c r="I88" s="125">
        <f>I43*H88</f>
        <v>23.3</v>
      </c>
    </row>
    <row r="89" spans="1:19">
      <c r="A89" s="287" t="s">
        <v>85</v>
      </c>
      <c r="B89" s="287"/>
      <c r="C89" s="287"/>
      <c r="D89" s="287"/>
      <c r="E89" s="287"/>
      <c r="F89" s="287"/>
      <c r="G89" s="287"/>
      <c r="H89" s="113"/>
      <c r="I89" s="80">
        <f>SUM(I83:I88)</f>
        <v>169.34</v>
      </c>
    </row>
    <row r="90" spans="1:19">
      <c r="A90" s="304" t="s">
        <v>130</v>
      </c>
      <c r="B90" s="304"/>
      <c r="C90" s="304"/>
      <c r="D90" s="304"/>
      <c r="E90" s="304"/>
      <c r="F90" s="304"/>
      <c r="G90" s="304"/>
      <c r="H90" s="132" t="s">
        <v>93</v>
      </c>
      <c r="I90" s="133">
        <f>I29</f>
        <v>1806.53</v>
      </c>
    </row>
    <row r="91" spans="1:19">
      <c r="A91" s="304"/>
      <c r="B91" s="304"/>
      <c r="C91" s="304"/>
      <c r="D91" s="304"/>
      <c r="E91" s="304"/>
      <c r="F91" s="304"/>
      <c r="G91" s="304"/>
      <c r="H91" s="132" t="s">
        <v>94</v>
      </c>
      <c r="I91" s="133">
        <f>I80</f>
        <v>1756.49</v>
      </c>
    </row>
    <row r="92" spans="1:19">
      <c r="A92" s="304"/>
      <c r="B92" s="304"/>
      <c r="C92" s="304"/>
      <c r="D92" s="304"/>
      <c r="E92" s="304"/>
      <c r="F92" s="304"/>
      <c r="G92" s="304"/>
      <c r="H92" s="132" t="s">
        <v>95</v>
      </c>
      <c r="I92" s="133">
        <f>I89</f>
        <v>169.34</v>
      </c>
    </row>
    <row r="93" spans="1:19" ht="26.25" customHeight="1">
      <c r="A93" s="304"/>
      <c r="B93" s="304"/>
      <c r="C93" s="304"/>
      <c r="D93" s="304"/>
      <c r="E93" s="304"/>
      <c r="F93" s="304"/>
      <c r="G93" s="304"/>
      <c r="H93" s="132" t="s">
        <v>85</v>
      </c>
      <c r="I93" s="133">
        <f>SUM(I90:I92)</f>
        <v>3732.36</v>
      </c>
    </row>
    <row r="94" spans="1:19" s="137" customFormat="1" ht="63.75" customHeight="1">
      <c r="A94" s="37" t="s">
        <v>131</v>
      </c>
      <c r="B94" s="134"/>
      <c r="C94" s="134"/>
      <c r="D94" s="134"/>
      <c r="E94" s="134"/>
      <c r="F94" s="134"/>
      <c r="G94" s="134"/>
      <c r="H94" s="135"/>
      <c r="I94" s="136"/>
    </row>
    <row r="95" spans="1:19" ht="16.5" customHeight="1">
      <c r="A95" s="138" t="s">
        <v>132</v>
      </c>
      <c r="B95" s="63" t="s">
        <v>133</v>
      </c>
      <c r="C95" s="63"/>
      <c r="D95" s="63"/>
      <c r="E95" s="63"/>
      <c r="F95" s="63"/>
      <c r="G95" s="63"/>
      <c r="H95" s="67" t="s">
        <v>134</v>
      </c>
      <c r="I95" s="68" t="s">
        <v>79</v>
      </c>
    </row>
    <row r="96" spans="1:19" ht="16.5" customHeight="1">
      <c r="A96" s="69" t="s">
        <v>58</v>
      </c>
      <c r="B96" s="301" t="s">
        <v>135</v>
      </c>
      <c r="C96" s="301"/>
      <c r="D96" s="301"/>
      <c r="E96" s="301"/>
      <c r="F96" s="301"/>
      <c r="G96" s="301"/>
      <c r="H96" s="139">
        <f>'DADOS BÁSICOS LICITAÇÃO'!$H$59</f>
        <v>4.8734000000000002</v>
      </c>
      <c r="I96" s="71">
        <f>SUM(I97:I104)</f>
        <v>50.53</v>
      </c>
    </row>
    <row r="97" spans="1:9" ht="16.5" customHeight="1">
      <c r="A97" s="140" t="s">
        <v>219</v>
      </c>
      <c r="B97" s="300" t="s">
        <v>211</v>
      </c>
      <c r="C97" s="300"/>
      <c r="D97" s="300"/>
      <c r="E97" s="300"/>
      <c r="F97" s="300"/>
      <c r="G97" s="300"/>
      <c r="H97" s="139">
        <f>'DADOS BÁSICOS LICITAÇÃO'!$H$60</f>
        <v>1</v>
      </c>
      <c r="I97" s="141">
        <f>((I$93/30)*H97)/H$10</f>
        <v>10.37</v>
      </c>
    </row>
    <row r="98" spans="1:9" ht="16.5" customHeight="1">
      <c r="A98" s="140" t="s">
        <v>221</v>
      </c>
      <c r="B98" s="300" t="s">
        <v>212</v>
      </c>
      <c r="C98" s="300"/>
      <c r="D98" s="300"/>
      <c r="E98" s="300"/>
      <c r="F98" s="300"/>
      <c r="G98" s="300"/>
      <c r="H98" s="139">
        <f>'DADOS BÁSICOS LICITAÇÃO'!$H$61</f>
        <v>3.4929999999999999</v>
      </c>
      <c r="I98" s="141">
        <f>((I$93/30)*H98)/H$10</f>
        <v>36.21</v>
      </c>
    </row>
    <row r="99" spans="1:9" ht="16.5" customHeight="1">
      <c r="A99" s="140" t="s">
        <v>222</v>
      </c>
      <c r="B99" s="300" t="s">
        <v>213</v>
      </c>
      <c r="C99" s="300"/>
      <c r="D99" s="300"/>
      <c r="E99" s="300"/>
      <c r="F99" s="300"/>
      <c r="G99" s="300"/>
      <c r="H99" s="139">
        <f>'DADOS BÁSICOS LICITAÇÃO'!$H$62</f>
        <v>0.26879999999999998</v>
      </c>
      <c r="I99" s="141">
        <f t="shared" ref="I99:I108" si="2">(I$93/30)*(H99/H$10)</f>
        <v>2.79</v>
      </c>
    </row>
    <row r="100" spans="1:9" ht="16.5" customHeight="1">
      <c r="A100" s="140" t="s">
        <v>228</v>
      </c>
      <c r="B100" s="300" t="s">
        <v>214</v>
      </c>
      <c r="C100" s="300"/>
      <c r="D100" s="300"/>
      <c r="E100" s="300"/>
      <c r="F100" s="300"/>
      <c r="G100" s="300"/>
      <c r="H100" s="139">
        <f>'DADOS BÁSICOS LICITAÇÃO'!$H$63</f>
        <v>4.2599999999999999E-2</v>
      </c>
      <c r="I100" s="141">
        <f t="shared" si="2"/>
        <v>0.44</v>
      </c>
    </row>
    <row r="101" spans="1:9" ht="16.5" customHeight="1">
      <c r="A101" s="140" t="s">
        <v>229</v>
      </c>
      <c r="B101" s="300" t="s">
        <v>215</v>
      </c>
      <c r="C101" s="300"/>
      <c r="D101" s="300"/>
      <c r="E101" s="300"/>
      <c r="F101" s="300"/>
      <c r="G101" s="300"/>
      <c r="H101" s="139">
        <f>'DADOS BÁSICOS LICITAÇÃO'!$H$64</f>
        <v>3.5400000000000001E-2</v>
      </c>
      <c r="I101" s="141">
        <f t="shared" si="2"/>
        <v>0.37</v>
      </c>
    </row>
    <row r="102" spans="1:9" ht="16.5" customHeight="1">
      <c r="A102" s="140" t="s">
        <v>230</v>
      </c>
      <c r="B102" s="300" t="s">
        <v>216</v>
      </c>
      <c r="C102" s="300"/>
      <c r="D102" s="300"/>
      <c r="E102" s="300"/>
      <c r="F102" s="300"/>
      <c r="G102" s="300"/>
      <c r="H102" s="139">
        <f>'DADOS BÁSICOS LICITAÇÃO'!$H$65</f>
        <v>0.02</v>
      </c>
      <c r="I102" s="141">
        <f t="shared" si="2"/>
        <v>0.21</v>
      </c>
    </row>
    <row r="103" spans="1:9" ht="16.5" customHeight="1">
      <c r="A103" s="140" t="s">
        <v>231</v>
      </c>
      <c r="B103" s="300" t="s">
        <v>217</v>
      </c>
      <c r="C103" s="300"/>
      <c r="D103" s="300"/>
      <c r="E103" s="300"/>
      <c r="F103" s="300"/>
      <c r="G103" s="300"/>
      <c r="H103" s="139">
        <f>'DADOS BÁSICOS LICITAÇÃO'!$H$66</f>
        <v>4.0000000000000001E-3</v>
      </c>
      <c r="I103" s="141">
        <f t="shared" si="2"/>
        <v>0.04</v>
      </c>
    </row>
    <row r="104" spans="1:9" ht="16.5" customHeight="1">
      <c r="A104" s="140" t="s">
        <v>232</v>
      </c>
      <c r="B104" s="300" t="s">
        <v>218</v>
      </c>
      <c r="C104" s="300"/>
      <c r="D104" s="300"/>
      <c r="E104" s="300"/>
      <c r="F104" s="300"/>
      <c r="G104" s="300"/>
      <c r="H104" s="139">
        <f>'DADOS BÁSICOS LICITAÇÃO'!$H$67</f>
        <v>9.5999999999999992E-3</v>
      </c>
      <c r="I104" s="141">
        <f t="shared" si="2"/>
        <v>0.1</v>
      </c>
    </row>
    <row r="105" spans="1:9" ht="16.5" customHeight="1">
      <c r="A105" s="69" t="s">
        <v>60</v>
      </c>
      <c r="B105" s="301" t="s">
        <v>136</v>
      </c>
      <c r="C105" s="301"/>
      <c r="D105" s="301"/>
      <c r="E105" s="301"/>
      <c r="F105" s="301"/>
      <c r="G105" s="301"/>
      <c r="H105" s="139">
        <f>'DADOS BÁSICOS LICITAÇÃO'!$H$68</f>
        <v>0.19980000000000001</v>
      </c>
      <c r="I105" s="71">
        <f t="shared" si="2"/>
        <v>2.0699999999999998</v>
      </c>
    </row>
    <row r="106" spans="1:9" ht="16.5" customHeight="1">
      <c r="A106" s="69" t="s">
        <v>62</v>
      </c>
      <c r="B106" s="301" t="s">
        <v>137</v>
      </c>
      <c r="C106" s="301"/>
      <c r="D106" s="301"/>
      <c r="E106" s="301"/>
      <c r="F106" s="301"/>
      <c r="G106" s="301"/>
      <c r="H106" s="139">
        <f>'DADOS BÁSICOS LICITAÇÃO'!$H$69</f>
        <v>0.96619999999999995</v>
      </c>
      <c r="I106" s="71">
        <f t="shared" si="2"/>
        <v>10.02</v>
      </c>
    </row>
    <row r="107" spans="1:9" ht="16.5" customHeight="1">
      <c r="A107" s="69" t="s">
        <v>64</v>
      </c>
      <c r="B107" s="301" t="s">
        <v>138</v>
      </c>
      <c r="C107" s="301"/>
      <c r="D107" s="301"/>
      <c r="E107" s="301"/>
      <c r="F107" s="301"/>
      <c r="G107" s="301"/>
      <c r="H107" s="139">
        <f>'DADOS BÁSICOS LICITAÇÃO'!$H$70</f>
        <v>2.4771999999999998</v>
      </c>
      <c r="I107" s="71">
        <f t="shared" si="2"/>
        <v>25.68</v>
      </c>
    </row>
    <row r="108" spans="1:9">
      <c r="A108" s="41" t="s">
        <v>66</v>
      </c>
      <c r="B108" s="301" t="s">
        <v>139</v>
      </c>
      <c r="C108" s="301"/>
      <c r="D108" s="301"/>
      <c r="E108" s="301"/>
      <c r="F108" s="301"/>
      <c r="G108" s="301"/>
      <c r="H108" s="139">
        <f>'DADOS BÁSICOS LICITAÇÃO'!$H$71</f>
        <v>0</v>
      </c>
      <c r="I108" s="71">
        <f t="shared" si="2"/>
        <v>0</v>
      </c>
    </row>
    <row r="109" spans="1:9">
      <c r="A109" s="287" t="s">
        <v>85</v>
      </c>
      <c r="B109" s="287"/>
      <c r="C109" s="287"/>
      <c r="D109" s="287"/>
      <c r="E109" s="287"/>
      <c r="F109" s="287"/>
      <c r="G109" s="287"/>
      <c r="H109" s="142">
        <f>H96+H105+H106+H107+H108</f>
        <v>8.5166000000000004</v>
      </c>
      <c r="I109" s="80">
        <f>I96+I105+I106+I107+I108</f>
        <v>88.3</v>
      </c>
    </row>
    <row r="110" spans="1:9" ht="16.5" customHeight="1">
      <c r="A110" s="143" t="s">
        <v>140</v>
      </c>
      <c r="B110" s="290" t="s">
        <v>141</v>
      </c>
      <c r="C110" s="290"/>
      <c r="D110" s="290"/>
      <c r="E110" s="290"/>
      <c r="F110" s="290"/>
      <c r="G110" s="290"/>
      <c r="H110" s="144"/>
      <c r="I110" s="145" t="s">
        <v>79</v>
      </c>
    </row>
    <row r="111" spans="1:9">
      <c r="A111" s="69" t="s">
        <v>58</v>
      </c>
      <c r="B111" s="286" t="s">
        <v>142</v>
      </c>
      <c r="C111" s="286"/>
      <c r="D111" s="286"/>
      <c r="E111" s="286"/>
      <c r="F111" s="286"/>
      <c r="G111" s="286"/>
      <c r="H111" s="48"/>
      <c r="I111" s="146">
        <v>0</v>
      </c>
    </row>
    <row r="112" spans="1:9" ht="21.75" customHeight="1">
      <c r="A112" s="287" t="s">
        <v>85</v>
      </c>
      <c r="B112" s="287"/>
      <c r="C112" s="287"/>
      <c r="D112" s="287"/>
      <c r="E112" s="287"/>
      <c r="F112" s="287"/>
      <c r="G112" s="287"/>
      <c r="H112" s="113"/>
      <c r="I112" s="147">
        <f>SUM(I111:I111)</f>
        <v>0</v>
      </c>
    </row>
    <row r="113" spans="1:19" ht="12.75" customHeight="1">
      <c r="A113" s="37" t="s">
        <v>143</v>
      </c>
      <c r="B113" s="63"/>
      <c r="C113" s="63"/>
      <c r="D113" s="63"/>
      <c r="E113" s="63"/>
      <c r="F113" s="63"/>
      <c r="G113" s="63"/>
      <c r="H113" s="64"/>
      <c r="I113" s="65"/>
    </row>
    <row r="114" spans="1:19" ht="12.75" customHeight="1">
      <c r="A114" s="66">
        <v>4</v>
      </c>
      <c r="B114" s="288" t="s">
        <v>144</v>
      </c>
      <c r="C114" s="288"/>
      <c r="D114" s="288"/>
      <c r="E114" s="288"/>
      <c r="F114" s="288"/>
      <c r="G114" s="288"/>
      <c r="H114" s="148"/>
      <c r="I114" s="68" t="s">
        <v>79</v>
      </c>
    </row>
    <row r="115" spans="1:19" ht="12.75" customHeight="1">
      <c r="A115" s="85" t="s">
        <v>132</v>
      </c>
      <c r="B115" s="284" t="s">
        <v>133</v>
      </c>
      <c r="C115" s="284"/>
      <c r="D115" s="284"/>
      <c r="E115" s="284"/>
      <c r="F115" s="284"/>
      <c r="G115" s="284"/>
      <c r="H115" s="149"/>
      <c r="I115" s="71">
        <f>I109</f>
        <v>88.3</v>
      </c>
    </row>
    <row r="116" spans="1:19">
      <c r="A116" s="85" t="s">
        <v>140</v>
      </c>
      <c r="B116" s="299" t="s">
        <v>145</v>
      </c>
      <c r="C116" s="299"/>
      <c r="D116" s="299"/>
      <c r="E116" s="299"/>
      <c r="F116" s="299"/>
      <c r="G116" s="299"/>
      <c r="H116" s="150"/>
      <c r="I116" s="71">
        <f>I112</f>
        <v>0</v>
      </c>
    </row>
    <row r="117" spans="1:19" ht="18.75" customHeight="1">
      <c r="A117" s="298" t="s">
        <v>85</v>
      </c>
      <c r="B117" s="298"/>
      <c r="C117" s="298"/>
      <c r="D117" s="298"/>
      <c r="E117" s="298"/>
      <c r="F117" s="298"/>
      <c r="G117" s="298"/>
      <c r="H117" s="151"/>
      <c r="I117" s="80">
        <f>SUM(I115:I116)</f>
        <v>88.3</v>
      </c>
    </row>
    <row r="118" spans="1:19" ht="12.75" customHeight="1">
      <c r="A118" s="37" t="s">
        <v>146</v>
      </c>
      <c r="B118" s="38"/>
      <c r="C118" s="38"/>
      <c r="D118" s="38"/>
      <c r="E118" s="38"/>
      <c r="F118" s="38"/>
      <c r="G118" s="38"/>
      <c r="H118" s="39"/>
      <c r="I118" s="152"/>
    </row>
    <row r="119" spans="1:19" ht="15" customHeight="1">
      <c r="A119" s="66">
        <v>5</v>
      </c>
      <c r="B119" s="288" t="s">
        <v>147</v>
      </c>
      <c r="C119" s="288"/>
      <c r="D119" s="288"/>
      <c r="E119" s="288"/>
      <c r="F119" s="288"/>
      <c r="G119" s="288"/>
      <c r="H119" s="148"/>
      <c r="I119" s="68" t="s">
        <v>79</v>
      </c>
      <c r="J119" s="153"/>
    </row>
    <row r="120" spans="1:19" ht="15" customHeight="1">
      <c r="A120" s="154" t="s">
        <v>58</v>
      </c>
      <c r="B120" s="295" t="s">
        <v>40</v>
      </c>
      <c r="C120" s="295"/>
      <c r="D120" s="295"/>
      <c r="E120" s="295"/>
      <c r="F120" s="295"/>
      <c r="G120" s="295"/>
      <c r="H120" s="149"/>
      <c r="I120" s="71">
        <f>SUM(I121:I123)</f>
        <v>66.28</v>
      </c>
      <c r="J120" s="153"/>
    </row>
    <row r="121" spans="1:19">
      <c r="A121" s="155" t="s">
        <v>219</v>
      </c>
      <c r="B121" s="286" t="s">
        <v>220</v>
      </c>
      <c r="C121" s="286"/>
      <c r="D121" s="286"/>
      <c r="E121" s="286"/>
      <c r="F121" s="286"/>
      <c r="G121" s="286"/>
      <c r="H121" s="156"/>
      <c r="I121" s="57">
        <f>'DADOS BÁSICOS LICITAÇÃO'!$D$46</f>
        <v>63.52</v>
      </c>
      <c r="J121" s="157"/>
      <c r="K121" s="157"/>
      <c r="L121" s="157"/>
      <c r="M121" s="157"/>
      <c r="N121" s="157"/>
      <c r="O121" s="157"/>
      <c r="P121" s="157"/>
      <c r="Q121" s="157"/>
      <c r="R121" s="157"/>
      <c r="S121" s="157"/>
    </row>
    <row r="122" spans="1:19">
      <c r="A122" s="158" t="s">
        <v>221</v>
      </c>
      <c r="B122" s="296" t="s">
        <v>223</v>
      </c>
      <c r="C122" s="296"/>
      <c r="D122" s="296"/>
      <c r="E122" s="296"/>
      <c r="F122" s="296"/>
      <c r="G122" s="296"/>
      <c r="H122" s="159">
        <f>(ROUNDUP(((H109*H11)/(365*0.6986)),0))/H11</f>
        <v>4.3499999999999997E-2</v>
      </c>
      <c r="I122" s="160">
        <f>'DADOS BÁSICOS LICITAÇÃO'!$D$46*H122</f>
        <v>2.76</v>
      </c>
      <c r="J122" s="42"/>
      <c r="K122" s="42"/>
      <c r="L122" s="42"/>
      <c r="M122" s="42"/>
      <c r="N122" s="42"/>
      <c r="O122" s="42"/>
      <c r="P122" s="42"/>
      <c r="Q122" s="42"/>
      <c r="R122" s="42"/>
      <c r="S122" s="42"/>
    </row>
    <row r="123" spans="1:19" ht="12.75" customHeight="1">
      <c r="A123" s="108" t="s">
        <v>222</v>
      </c>
      <c r="B123" s="297" t="s">
        <v>209</v>
      </c>
      <c r="C123" s="297"/>
      <c r="D123" s="297"/>
      <c r="E123" s="297"/>
      <c r="F123" s="297"/>
      <c r="G123" s="297"/>
      <c r="H123" s="161">
        <v>0</v>
      </c>
      <c r="I123" s="162">
        <f>'DADOS BÁSICOS LICITAÇÃO'!$D$46*H123</f>
        <v>0</v>
      </c>
      <c r="J123" s="153"/>
    </row>
    <row r="124" spans="1:19">
      <c r="A124" s="154" t="s">
        <v>60</v>
      </c>
      <c r="B124" s="295" t="s">
        <v>44</v>
      </c>
      <c r="C124" s="295"/>
      <c r="D124" s="295"/>
      <c r="E124" s="295"/>
      <c r="F124" s="295"/>
      <c r="G124" s="295"/>
      <c r="H124" s="149"/>
      <c r="I124" s="163">
        <f>'DADOS BÁSICOS LICITAÇÃO'!$D$50/'MEMÓRIA DE CÁLCULO REF 1º ANO'!H10</f>
        <v>0</v>
      </c>
      <c r="J124" s="164"/>
    </row>
    <row r="125" spans="1:19" ht="12.75" customHeight="1">
      <c r="A125" s="154" t="s">
        <v>62</v>
      </c>
      <c r="B125" s="295" t="s">
        <v>47</v>
      </c>
      <c r="C125" s="295"/>
      <c r="D125" s="295"/>
      <c r="E125" s="295"/>
      <c r="F125" s="295"/>
      <c r="G125" s="295"/>
      <c r="H125" s="149"/>
      <c r="I125" s="163">
        <f>SUM(I126:I128)</f>
        <v>0.27</v>
      </c>
      <c r="J125" s="164"/>
    </row>
    <row r="126" spans="1:19">
      <c r="A126" s="69" t="s">
        <v>224</v>
      </c>
      <c r="B126" s="286" t="s">
        <v>226</v>
      </c>
      <c r="C126" s="286"/>
      <c r="D126" s="286"/>
      <c r="E126" s="286"/>
      <c r="F126" s="286"/>
      <c r="G126" s="286"/>
      <c r="H126" s="149"/>
      <c r="I126" s="163">
        <f>('DADOS BÁSICOS LICITAÇÃO'!$G$54/'DADOS BÁSICOS LICITAÇÃO'!$C$54)/('MEMÓRIA DE CÁLCULO REF 1º ANO'!$H$11+'TELEFONISTA 1º ANO'!$H$11)</f>
        <v>0.28999999999999998</v>
      </c>
      <c r="J126" s="164"/>
    </row>
    <row r="127" spans="1:19">
      <c r="A127" s="158" t="s">
        <v>225</v>
      </c>
      <c r="B127" s="296" t="s">
        <v>227</v>
      </c>
      <c r="C127" s="296"/>
      <c r="D127" s="296"/>
      <c r="E127" s="296"/>
      <c r="F127" s="296"/>
      <c r="G127" s="296"/>
      <c r="H127" s="159"/>
      <c r="I127" s="165">
        <f>(('DADOS BÁSICOS LICITAÇÃO'!$G$54/'DADOS BÁSICOS LICITAÇÃO'!$C$54)/('MEMÓRIA DE CÁLCULO REF 1º ANO'!$H$11+'TELEFONISTA 1º ANO'!$H$11+(ROUNDUP(((H109*H11)/(365*0.6986)),0)+(ROUNDUP((('TELEFONISTA 1º ANO'!H109*'TELEFONISTA 1º ANO'!H11)/(365*0.6986)),0)))))-I126</f>
        <v>-0.02</v>
      </c>
      <c r="J127" s="164"/>
    </row>
    <row r="128" spans="1:19">
      <c r="A128" s="108" t="s">
        <v>225</v>
      </c>
      <c r="B128" s="297" t="s">
        <v>210</v>
      </c>
      <c r="C128" s="297"/>
      <c r="D128" s="297"/>
      <c r="E128" s="297"/>
      <c r="F128" s="297"/>
      <c r="G128" s="297"/>
      <c r="H128" s="161"/>
      <c r="I128" s="166">
        <v>0</v>
      </c>
    </row>
    <row r="129" spans="1:9" ht="14.25" customHeight="1">
      <c r="A129" s="287" t="s">
        <v>85</v>
      </c>
      <c r="B129" s="287"/>
      <c r="C129" s="287"/>
      <c r="D129" s="287"/>
      <c r="E129" s="287"/>
      <c r="F129" s="287"/>
      <c r="G129" s="287"/>
      <c r="H129" s="113"/>
      <c r="I129" s="167">
        <f>I120+I124+I125</f>
        <v>66.55</v>
      </c>
    </row>
    <row r="130" spans="1:9">
      <c r="A130" s="289" t="s">
        <v>148</v>
      </c>
      <c r="B130" s="289"/>
      <c r="C130" s="289"/>
      <c r="D130" s="289"/>
      <c r="E130" s="289"/>
      <c r="F130" s="289"/>
      <c r="G130" s="289"/>
      <c r="H130" s="132" t="s">
        <v>93</v>
      </c>
      <c r="I130" s="168">
        <f>I29</f>
        <v>1806.53</v>
      </c>
    </row>
    <row r="131" spans="1:9">
      <c r="A131" s="289"/>
      <c r="B131" s="289"/>
      <c r="C131" s="289"/>
      <c r="D131" s="289"/>
      <c r="E131" s="289"/>
      <c r="F131" s="289"/>
      <c r="G131" s="289"/>
      <c r="H131" s="132" t="s">
        <v>94</v>
      </c>
      <c r="I131" s="168">
        <f>I80</f>
        <v>1756.49</v>
      </c>
    </row>
    <row r="132" spans="1:9">
      <c r="A132" s="289"/>
      <c r="B132" s="289"/>
      <c r="C132" s="289"/>
      <c r="D132" s="289"/>
      <c r="E132" s="289"/>
      <c r="F132" s="289"/>
      <c r="G132" s="289"/>
      <c r="H132" s="132" t="s">
        <v>95</v>
      </c>
      <c r="I132" s="168">
        <f>I89</f>
        <v>169.34</v>
      </c>
    </row>
    <row r="133" spans="1:9">
      <c r="A133" s="289"/>
      <c r="B133" s="289"/>
      <c r="C133" s="289"/>
      <c r="D133" s="289"/>
      <c r="E133" s="289"/>
      <c r="F133" s="289"/>
      <c r="G133" s="289"/>
      <c r="H133" s="132" t="s">
        <v>96</v>
      </c>
      <c r="I133" s="168">
        <f>I117</f>
        <v>88.3</v>
      </c>
    </row>
    <row r="134" spans="1:9">
      <c r="A134" s="289"/>
      <c r="B134" s="289"/>
      <c r="C134" s="289"/>
      <c r="D134" s="289"/>
      <c r="E134" s="289"/>
      <c r="F134" s="289"/>
      <c r="G134" s="289"/>
      <c r="H134" s="132" t="s">
        <v>97</v>
      </c>
      <c r="I134" s="82">
        <f>I129</f>
        <v>66.55</v>
      </c>
    </row>
    <row r="135" spans="1:9" ht="24" customHeight="1">
      <c r="A135" s="289"/>
      <c r="B135" s="289"/>
      <c r="C135" s="289"/>
      <c r="D135" s="289"/>
      <c r="E135" s="289"/>
      <c r="F135" s="289"/>
      <c r="G135" s="289"/>
      <c r="H135" s="132" t="s">
        <v>85</v>
      </c>
      <c r="I135" s="82">
        <f>SUM(I130:I134)</f>
        <v>3887.21</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LICITAÇÃO'!$S8</f>
        <v>0.05</v>
      </c>
      <c r="I138" s="71">
        <f>(H138*I135)</f>
        <v>194.36</v>
      </c>
    </row>
    <row r="139" spans="1:9">
      <c r="A139" s="69" t="s">
        <v>60</v>
      </c>
      <c r="B139" s="291" t="s">
        <v>152</v>
      </c>
      <c r="C139" s="292"/>
      <c r="D139" s="292"/>
      <c r="E139" s="292"/>
      <c r="F139" s="292"/>
      <c r="G139" s="293"/>
      <c r="H139" s="124">
        <f>'DADOS BÁSICOS LICITAÇÃO'!$T8</f>
        <v>0.05</v>
      </c>
      <c r="I139" s="71">
        <f>H139*(I135+I138)</f>
        <v>204.08</v>
      </c>
    </row>
    <row r="140" spans="1:9" ht="12.75" customHeight="1">
      <c r="A140" s="69" t="s">
        <v>62</v>
      </c>
      <c r="B140" s="294" t="s">
        <v>153</v>
      </c>
      <c r="C140" s="294"/>
      <c r="D140" s="294"/>
      <c r="E140" s="294"/>
      <c r="F140" s="294"/>
      <c r="G140" s="294"/>
      <c r="H140" s="169">
        <f>SUM(H141+H142+H143)</f>
        <v>8.6499999999999994E-2</v>
      </c>
      <c r="I140" s="170">
        <f>SUM(I141:I143)</f>
        <v>405.8</v>
      </c>
    </row>
    <row r="141" spans="1:9" ht="12.75" customHeight="1">
      <c r="A141" s="154"/>
      <c r="B141" s="286" t="s">
        <v>154</v>
      </c>
      <c r="C141" s="286"/>
      <c r="D141" s="286"/>
      <c r="E141" s="286"/>
      <c r="F141" s="286"/>
      <c r="G141" s="286"/>
      <c r="H141" s="127">
        <f>IF('DADOS BÁSICOS LICITAÇÃO'!$B$25="LUCRO PRESUMIDO",'DADOS BÁSICOS LICITAÇÃO'!$B$28,'DADOS BÁSICOS LICITAÇÃO'!$C$28)</f>
        <v>0.03</v>
      </c>
      <c r="I141" s="71">
        <f>SUM(H141*I154)</f>
        <v>140.74</v>
      </c>
    </row>
    <row r="142" spans="1:9" ht="12.75" customHeight="1">
      <c r="A142" s="154"/>
      <c r="B142" s="286" t="s">
        <v>155</v>
      </c>
      <c r="C142" s="286"/>
      <c r="D142" s="286"/>
      <c r="E142" s="286"/>
      <c r="F142" s="286"/>
      <c r="G142" s="286"/>
      <c r="H142" s="127">
        <f>IF('DADOS BÁSICOS LICITAÇÃO'!$B$25="LUCRO PRESUMIDO",'DADOS BÁSICOS LICITAÇÃO'!$B$27,'DADOS BÁSICOS LICITAÇÃO'!$C$27)</f>
        <v>6.4999999999999997E-3</v>
      </c>
      <c r="I142" s="71">
        <f>SUM(H142*I154)</f>
        <v>30.49</v>
      </c>
    </row>
    <row r="143" spans="1:9">
      <c r="A143" s="154"/>
      <c r="B143" s="286" t="s">
        <v>156</v>
      </c>
      <c r="C143" s="286"/>
      <c r="D143" s="286"/>
      <c r="E143" s="286"/>
      <c r="F143" s="286"/>
      <c r="G143" s="286"/>
      <c r="H143" s="127">
        <f>'DADOS BÁSICOS LICITAÇÃO'!U8</f>
        <v>0.05</v>
      </c>
      <c r="I143" s="71">
        <f>SUM(H143*I154)</f>
        <v>234.57</v>
      </c>
    </row>
    <row r="144" spans="1:9" ht="19.5" customHeight="1">
      <c r="A144" s="287" t="s">
        <v>85</v>
      </c>
      <c r="B144" s="287"/>
      <c r="C144" s="287"/>
      <c r="D144" s="287"/>
      <c r="E144" s="287"/>
      <c r="F144" s="287"/>
      <c r="G144" s="287"/>
      <c r="H144" s="171"/>
      <c r="I144" s="80">
        <f>SUM(I138+I139+I141+I142+I143)</f>
        <v>804.24</v>
      </c>
    </row>
    <row r="145" spans="1:9" ht="12.75" customHeight="1">
      <c r="A145" s="172" t="s">
        <v>157</v>
      </c>
      <c r="B145" s="173"/>
      <c r="C145" s="173"/>
      <c r="D145" s="173"/>
      <c r="E145" s="173"/>
      <c r="F145" s="173"/>
      <c r="G145" s="173"/>
      <c r="H145" s="174"/>
      <c r="I145" s="175"/>
    </row>
    <row r="146" spans="1:9" ht="12.75" customHeight="1">
      <c r="A146" s="288" t="s">
        <v>158</v>
      </c>
      <c r="B146" s="288"/>
      <c r="C146" s="288"/>
      <c r="D146" s="288"/>
      <c r="E146" s="288"/>
      <c r="F146" s="288"/>
      <c r="G146" s="288"/>
      <c r="H146" s="148"/>
      <c r="I146" s="84" t="s">
        <v>79</v>
      </c>
    </row>
    <row r="147" spans="1:9" ht="12.75" customHeight="1">
      <c r="A147" s="176" t="s">
        <v>58</v>
      </c>
      <c r="B147" s="284" t="s">
        <v>159</v>
      </c>
      <c r="C147" s="284"/>
      <c r="D147" s="284"/>
      <c r="E147" s="284"/>
      <c r="F147" s="284"/>
      <c r="G147" s="284"/>
      <c r="H147" s="48"/>
      <c r="I147" s="177">
        <f>I29</f>
        <v>1806.53</v>
      </c>
    </row>
    <row r="148" spans="1:9" ht="12.75" customHeight="1">
      <c r="A148" s="176" t="s">
        <v>60</v>
      </c>
      <c r="B148" s="284" t="s">
        <v>121</v>
      </c>
      <c r="C148" s="284"/>
      <c r="D148" s="284"/>
      <c r="E148" s="284"/>
      <c r="F148" s="284"/>
      <c r="G148" s="284"/>
      <c r="H148" s="178"/>
      <c r="I148" s="177">
        <f>I80</f>
        <v>1756.49</v>
      </c>
    </row>
    <row r="149" spans="1:9" ht="12.75" customHeight="1">
      <c r="A149" s="176" t="s">
        <v>62</v>
      </c>
      <c r="B149" s="284" t="s">
        <v>160</v>
      </c>
      <c r="C149" s="284"/>
      <c r="D149" s="284"/>
      <c r="E149" s="284"/>
      <c r="F149" s="284"/>
      <c r="G149" s="284"/>
      <c r="H149" s="178"/>
      <c r="I149" s="177">
        <f>I89</f>
        <v>169.34</v>
      </c>
    </row>
    <row r="150" spans="1:9" ht="12.75" customHeight="1">
      <c r="A150" s="176" t="s">
        <v>64</v>
      </c>
      <c r="B150" s="284" t="s">
        <v>144</v>
      </c>
      <c r="C150" s="284"/>
      <c r="D150" s="284"/>
      <c r="E150" s="284"/>
      <c r="F150" s="284"/>
      <c r="G150" s="284"/>
      <c r="H150" s="178"/>
      <c r="I150" s="177">
        <f>I117</f>
        <v>88.3</v>
      </c>
    </row>
    <row r="151" spans="1:9" ht="16.5" customHeight="1">
      <c r="A151" s="176" t="s">
        <v>66</v>
      </c>
      <c r="B151" s="284" t="s">
        <v>161</v>
      </c>
      <c r="C151" s="284"/>
      <c r="D151" s="284"/>
      <c r="E151" s="284"/>
      <c r="F151" s="284"/>
      <c r="G151" s="284"/>
      <c r="H151" s="178"/>
      <c r="I151" s="177">
        <f>I129</f>
        <v>66.55</v>
      </c>
    </row>
    <row r="152" spans="1:9" ht="12.75" customHeight="1">
      <c r="A152" s="285" t="s">
        <v>162</v>
      </c>
      <c r="B152" s="285"/>
      <c r="C152" s="285"/>
      <c r="D152" s="285"/>
      <c r="E152" s="285"/>
      <c r="F152" s="285"/>
      <c r="G152" s="285"/>
      <c r="H152" s="179"/>
      <c r="I152" s="180">
        <f>SUM(I147:I151)</f>
        <v>3887.21</v>
      </c>
    </row>
    <row r="153" spans="1:9" ht="16.5" customHeight="1">
      <c r="A153" s="181" t="s">
        <v>84</v>
      </c>
      <c r="B153" s="286" t="s">
        <v>163</v>
      </c>
      <c r="C153" s="286"/>
      <c r="D153" s="286"/>
      <c r="E153" s="286"/>
      <c r="F153" s="286"/>
      <c r="G153" s="286"/>
      <c r="H153" s="48"/>
      <c r="I153" s="182">
        <f>I144</f>
        <v>804.24</v>
      </c>
    </row>
    <row r="154" spans="1:9" ht="19.5" customHeight="1" thickBot="1">
      <c r="A154" s="285" t="s">
        <v>164</v>
      </c>
      <c r="B154" s="285"/>
      <c r="C154" s="285"/>
      <c r="D154" s="285"/>
      <c r="E154" s="285"/>
      <c r="F154" s="285"/>
      <c r="G154" s="285"/>
      <c r="H154" s="183"/>
      <c r="I154" s="184">
        <f>SUM(I152+I138+I139)/(1-H140)</f>
        <v>4691.46</v>
      </c>
    </row>
    <row r="155" spans="1:9">
      <c r="A155" s="172" t="s">
        <v>165</v>
      </c>
      <c r="B155" s="185"/>
      <c r="C155" s="185"/>
      <c r="D155" s="185"/>
      <c r="E155" s="185"/>
      <c r="F155" s="185"/>
      <c r="G155" s="185"/>
      <c r="H155" s="186" t="s">
        <v>166</v>
      </c>
      <c r="I155" s="185" t="s">
        <v>79</v>
      </c>
    </row>
    <row r="156" spans="1:9">
      <c r="A156" s="43" t="s">
        <v>198</v>
      </c>
      <c r="B156" s="283" t="s">
        <v>25</v>
      </c>
      <c r="C156" s="283"/>
      <c r="D156" s="283"/>
      <c r="E156" s="283"/>
      <c r="F156" s="283"/>
      <c r="G156" s="283"/>
      <c r="H156" s="187">
        <f>H11</f>
        <v>46</v>
      </c>
      <c r="I156" s="188">
        <f>H156*I154</f>
        <v>215807.16</v>
      </c>
    </row>
    <row r="157" spans="1:9">
      <c r="I157" s="35"/>
    </row>
    <row r="158" spans="1:9">
      <c r="I158" s="164"/>
    </row>
    <row r="159" spans="1:9">
      <c r="I159" s="164"/>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YgYwkoMSObNrYmxofjJTXwrfERegWWTIyECPZf87v28LmZrCqm4N20ELwCWbuuMx5ItoY9gTGhlT2N1+3fGeXA==" saltValue="VdEdJoikO01ZZWTMt57FeA==" spinCount="100000" sheet="1" objects="1" scenarios="1"/>
  <mergeCells count="148">
    <mergeCell ref="B9:G9"/>
    <mergeCell ref="H9:I9"/>
    <mergeCell ref="B8:G8"/>
    <mergeCell ref="H8:I8"/>
    <mergeCell ref="B7:G7"/>
    <mergeCell ref="H7:I7"/>
    <mergeCell ref="A1:I1"/>
    <mergeCell ref="A2:I2"/>
    <mergeCell ref="A3:I3"/>
    <mergeCell ref="A4:I4"/>
    <mergeCell ref="A5:I5"/>
    <mergeCell ref="A6:I6"/>
    <mergeCell ref="B15:G15"/>
    <mergeCell ref="H15:I15"/>
    <mergeCell ref="B14:G14"/>
    <mergeCell ref="H14:I14"/>
    <mergeCell ref="B13:G13"/>
    <mergeCell ref="H13:I13"/>
    <mergeCell ref="B11:G11"/>
    <mergeCell ref="H11:I11"/>
    <mergeCell ref="B10:G10"/>
    <mergeCell ref="H10:I10"/>
    <mergeCell ref="B20:G20"/>
    <mergeCell ref="H20:I20"/>
    <mergeCell ref="B19:G19"/>
    <mergeCell ref="H19:I19"/>
    <mergeCell ref="B18:G18"/>
    <mergeCell ref="H18:I18"/>
    <mergeCell ref="B17:G17"/>
    <mergeCell ref="H17:I17"/>
    <mergeCell ref="B16:G16"/>
    <mergeCell ref="H16:I16"/>
    <mergeCell ref="B27:G27"/>
    <mergeCell ref="B28:D28"/>
    <mergeCell ref="E28:G28"/>
    <mergeCell ref="A29:G29"/>
    <mergeCell ref="B31:G31"/>
    <mergeCell ref="B32:G32"/>
    <mergeCell ref="B22:G22"/>
    <mergeCell ref="B23:G23"/>
    <mergeCell ref="B24:G24"/>
    <mergeCell ref="B25:G25"/>
    <mergeCell ref="B26:G26"/>
    <mergeCell ref="A40:G40"/>
    <mergeCell ref="A41:G43"/>
    <mergeCell ref="B45:G45"/>
    <mergeCell ref="B46:G46"/>
    <mergeCell ref="B47:G47"/>
    <mergeCell ref="B48:G48"/>
    <mergeCell ref="B33:G33"/>
    <mergeCell ref="C34:G34"/>
    <mergeCell ref="C35:G35"/>
    <mergeCell ref="C37:G37"/>
    <mergeCell ref="C38:G38"/>
    <mergeCell ref="C39:G39"/>
    <mergeCell ref="C36:G36"/>
    <mergeCell ref="B56:G56"/>
    <mergeCell ref="B57:G57"/>
    <mergeCell ref="I57:I60"/>
    <mergeCell ref="B49:G49"/>
    <mergeCell ref="B50:G50"/>
    <mergeCell ref="B51:G51"/>
    <mergeCell ref="B52:G52"/>
    <mergeCell ref="B53:G53"/>
    <mergeCell ref="A54:G54"/>
    <mergeCell ref="B62:G62"/>
    <mergeCell ref="B63:G63"/>
    <mergeCell ref="B64:G64"/>
    <mergeCell ref="B65:G65"/>
    <mergeCell ref="B58:G58"/>
    <mergeCell ref="B59:G59"/>
    <mergeCell ref="B60:G60"/>
    <mergeCell ref="B61:G61"/>
    <mergeCell ref="I61:I64"/>
    <mergeCell ref="B73:G73"/>
    <mergeCell ref="A74:G74"/>
    <mergeCell ref="B76:G76"/>
    <mergeCell ref="B77:G77"/>
    <mergeCell ref="B78:G78"/>
    <mergeCell ref="B79:G79"/>
    <mergeCell ref="B66:G66"/>
    <mergeCell ref="B67:G67"/>
    <mergeCell ref="B68:G68"/>
    <mergeCell ref="B70:G70"/>
    <mergeCell ref="B71:G71"/>
    <mergeCell ref="B72:G72"/>
    <mergeCell ref="B69:G69"/>
    <mergeCell ref="B87:G87"/>
    <mergeCell ref="B88:G88"/>
    <mergeCell ref="A89:G89"/>
    <mergeCell ref="A90:G93"/>
    <mergeCell ref="B96:G96"/>
    <mergeCell ref="B97:G97"/>
    <mergeCell ref="A80:G80"/>
    <mergeCell ref="B82:G82"/>
    <mergeCell ref="B83:G83"/>
    <mergeCell ref="B84:G84"/>
    <mergeCell ref="B85:G85"/>
    <mergeCell ref="B86:G86"/>
    <mergeCell ref="B104:G104"/>
    <mergeCell ref="B105:G105"/>
    <mergeCell ref="B106:G106"/>
    <mergeCell ref="B107:G107"/>
    <mergeCell ref="B108:G108"/>
    <mergeCell ref="A109:G109"/>
    <mergeCell ref="B98:G98"/>
    <mergeCell ref="B99:G99"/>
    <mergeCell ref="B100:G100"/>
    <mergeCell ref="B101:G101"/>
    <mergeCell ref="B102:G102"/>
    <mergeCell ref="B103:G103"/>
    <mergeCell ref="A117:G117"/>
    <mergeCell ref="B119:G119"/>
    <mergeCell ref="B120:G120"/>
    <mergeCell ref="B121:G121"/>
    <mergeCell ref="B122:G122"/>
    <mergeCell ref="B123:G123"/>
    <mergeCell ref="B110:G110"/>
    <mergeCell ref="B111:G111"/>
    <mergeCell ref="A112:G112"/>
    <mergeCell ref="B114:G114"/>
    <mergeCell ref="B115:G115"/>
    <mergeCell ref="B116:G116"/>
    <mergeCell ref="A130:G135"/>
    <mergeCell ref="B137:G137"/>
    <mergeCell ref="B138:G138"/>
    <mergeCell ref="B139:G139"/>
    <mergeCell ref="B140:G140"/>
    <mergeCell ref="B141:G141"/>
    <mergeCell ref="B124:G124"/>
    <mergeCell ref="B125:G125"/>
    <mergeCell ref="B126:G126"/>
    <mergeCell ref="B127:G127"/>
    <mergeCell ref="B128:G128"/>
    <mergeCell ref="A129:G129"/>
    <mergeCell ref="B156:G156"/>
    <mergeCell ref="B149:G149"/>
    <mergeCell ref="B150:G150"/>
    <mergeCell ref="B151:G151"/>
    <mergeCell ref="A152:G152"/>
    <mergeCell ref="B153:G153"/>
    <mergeCell ref="A154:G154"/>
    <mergeCell ref="B142:G142"/>
    <mergeCell ref="B143:G143"/>
    <mergeCell ref="A144:G144"/>
    <mergeCell ref="A146:G146"/>
    <mergeCell ref="B147:G147"/>
    <mergeCell ref="B148:G148"/>
  </mergeCells>
  <pageMargins left="0.511811024" right="0.511811024" top="0.78740157500000008" bottom="0.78740157500000008" header="0.31496062000000008" footer="0.31496062000000008"/>
  <pageSetup paperSize="9" scale="65" fitToWidth="0" fitToHeight="0"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9C5C5-5577-4C4C-9337-EEF56325104A}">
  <dimension ref="A1:J273"/>
  <sheetViews>
    <sheetView topLeftCell="A133" workbookViewId="0">
      <selection activeCell="I144" sqref="I144"/>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21.7265625" style="35" customWidth="1"/>
    <col min="8" max="8" width="15.81640625" style="35" bestFit="1" customWidth="1"/>
    <col min="9" max="9" width="15.81640625" style="189" customWidth="1"/>
    <col min="10" max="10" width="11.7265625" style="35" customWidth="1"/>
    <col min="11" max="16384" width="11.7265625" style="35"/>
  </cols>
  <sheetData>
    <row r="1" spans="1:9" ht="66.75" customHeight="1">
      <c r="A1" s="385" t="s">
        <v>53</v>
      </c>
      <c r="B1" s="394"/>
      <c r="C1" s="394"/>
      <c r="D1" s="394"/>
      <c r="E1" s="394"/>
      <c r="F1" s="394"/>
      <c r="G1" s="394"/>
      <c r="H1" s="394"/>
      <c r="I1" s="395"/>
    </row>
    <row r="2" spans="1:9" ht="12.75" customHeight="1">
      <c r="A2" s="372" t="s">
        <v>287</v>
      </c>
      <c r="B2" s="388"/>
      <c r="C2" s="391" t="str">
        <f>'DADOS BÁSICOS LICITAÇÃO'!D4</f>
        <v>08385.000738/2021-44</v>
      </c>
      <c r="D2" s="388"/>
      <c r="E2" s="372"/>
      <c r="F2" s="373"/>
      <c r="G2" s="373"/>
      <c r="H2" s="373"/>
      <c r="I2" s="373"/>
    </row>
    <row r="3" spans="1:9" ht="12.75" customHeight="1">
      <c r="A3" s="372" t="s">
        <v>285</v>
      </c>
      <c r="B3" s="388"/>
      <c r="C3" s="372" t="str">
        <f>'DADOS BÁSICOS LICITAÇÃO'!E4</f>
        <v>01/2021</v>
      </c>
      <c r="D3" s="388"/>
      <c r="E3" s="372"/>
      <c r="F3" s="373"/>
      <c r="G3" s="373"/>
      <c r="H3" s="373"/>
      <c r="I3" s="373"/>
    </row>
    <row r="4" spans="1:9" ht="12.75" customHeight="1">
      <c r="A4" s="374" t="s">
        <v>288</v>
      </c>
      <c r="B4" s="389"/>
      <c r="C4" s="392">
        <f>'DADOS BÁSICOS LICITAÇÃO'!B4</f>
        <v>44358</v>
      </c>
      <c r="D4" s="389"/>
      <c r="E4" s="374"/>
      <c r="F4" s="375"/>
      <c r="G4" s="375"/>
      <c r="H4" s="375"/>
      <c r="I4" s="375"/>
    </row>
    <row r="5" spans="1:9" ht="12.75" customHeight="1">
      <c r="A5" s="390" t="s">
        <v>289</v>
      </c>
      <c r="B5" s="390"/>
      <c r="C5" s="393">
        <f>'DADOS BÁSICOS LICITAÇÃO'!C4</f>
        <v>0.39583333333333298</v>
      </c>
      <c r="D5" s="390"/>
      <c r="E5" s="376"/>
      <c r="F5" s="376"/>
      <c r="G5" s="376"/>
      <c r="H5" s="376"/>
      <c r="I5" s="376"/>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4º ANO'!$A$4</f>
        <v>44344</v>
      </c>
      <c r="I7" s="346"/>
    </row>
    <row r="8" spans="1:9" ht="12.75" customHeight="1">
      <c r="A8" s="36" t="s">
        <v>60</v>
      </c>
      <c r="B8" s="286" t="s">
        <v>61</v>
      </c>
      <c r="C8" s="286"/>
      <c r="D8" s="286"/>
      <c r="E8" s="286"/>
      <c r="F8" s="286"/>
      <c r="G8" s="286"/>
      <c r="H8" s="345" t="str">
        <f>'DADOS BÁSICOS 4º ANO'!A8</f>
        <v>Curitiba/PR</v>
      </c>
      <c r="I8" s="345"/>
    </row>
    <row r="9" spans="1:9" ht="12.75" customHeight="1">
      <c r="A9" s="36" t="s">
        <v>62</v>
      </c>
      <c r="B9" s="286" t="s">
        <v>63</v>
      </c>
      <c r="C9" s="286"/>
      <c r="D9" s="286"/>
      <c r="E9" s="286"/>
      <c r="F9" s="286"/>
      <c r="G9" s="286"/>
      <c r="H9" s="344" t="str">
        <f>'DADOS BÁSICOS 4º ANO'!D8</f>
        <v>PR000326/2021</v>
      </c>
      <c r="I9" s="344"/>
    </row>
    <row r="10" spans="1:9" ht="12.75" customHeight="1">
      <c r="A10" s="36" t="s">
        <v>64</v>
      </c>
      <c r="B10" s="286" t="s">
        <v>65</v>
      </c>
      <c r="C10" s="286"/>
      <c r="D10" s="286"/>
      <c r="E10" s="286"/>
      <c r="F10" s="286"/>
      <c r="G10" s="286"/>
      <c r="H10" s="344">
        <f>'DADOS BÁSICOS 4º ANO'!$E$17</f>
        <v>12</v>
      </c>
      <c r="I10" s="344"/>
    </row>
    <row r="11" spans="1:9" ht="12.75" customHeight="1">
      <c r="A11" s="36" t="s">
        <v>66</v>
      </c>
      <c r="B11" s="286" t="s">
        <v>67</v>
      </c>
      <c r="C11" s="286"/>
      <c r="D11" s="286"/>
      <c r="E11" s="286"/>
      <c r="F11" s="286"/>
      <c r="G11" s="286"/>
      <c r="H11" s="344">
        <f>'DADOS BÁSICOS 4º ANO'!B14</f>
        <v>2</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4º ANO'!A18</f>
        <v>4222-05</v>
      </c>
      <c r="I14" s="342"/>
    </row>
    <row r="15" spans="1:9" ht="12.75" customHeight="1">
      <c r="A15" s="36">
        <v>4</v>
      </c>
      <c r="B15" s="286" t="s">
        <v>73</v>
      </c>
      <c r="C15" s="286"/>
      <c r="D15" s="286"/>
      <c r="E15" s="286"/>
      <c r="F15" s="286"/>
      <c r="G15" s="286"/>
      <c r="H15" s="342" t="str">
        <f>'DADOS BÁSICOS 4º ANO'!B18</f>
        <v>Telefonista</v>
      </c>
      <c r="I15" s="342"/>
    </row>
    <row r="16" spans="1:9" ht="15" customHeight="1">
      <c r="A16" s="41">
        <v>5</v>
      </c>
      <c r="B16" s="286" t="s">
        <v>74</v>
      </c>
      <c r="C16" s="286"/>
      <c r="D16" s="286"/>
      <c r="E16" s="286"/>
      <c r="F16" s="286"/>
      <c r="G16" s="286"/>
      <c r="H16" s="384">
        <f>'DADOS BÁSICOS 4º ANO'!E8</f>
        <v>44228</v>
      </c>
      <c r="I16" s="384"/>
    </row>
    <row r="17" spans="1:9" ht="12.75" customHeight="1">
      <c r="A17" s="36">
        <v>3</v>
      </c>
      <c r="B17" s="286" t="s">
        <v>72</v>
      </c>
      <c r="C17" s="286"/>
      <c r="D17" s="286"/>
      <c r="E17" s="286"/>
      <c r="F17" s="286"/>
      <c r="G17" s="286"/>
      <c r="H17" s="383">
        <f>'DADOS BÁSICOS 4º ANO'!H14</f>
        <v>1415.56</v>
      </c>
      <c r="I17" s="383"/>
    </row>
    <row r="18" spans="1:9" ht="12.75" customHeight="1">
      <c r="A18" s="43">
        <v>6</v>
      </c>
      <c r="B18" s="284" t="s">
        <v>233</v>
      </c>
      <c r="C18" s="284"/>
      <c r="D18" s="284"/>
      <c r="E18" s="284"/>
      <c r="F18" s="284"/>
      <c r="G18" s="284"/>
      <c r="H18" s="382">
        <f>'DADOS BÁSICOS 4º ANO'!G14</f>
        <v>180</v>
      </c>
      <c r="I18" s="382"/>
    </row>
    <row r="19" spans="1:9" ht="12.75" customHeight="1">
      <c r="A19" s="43">
        <v>6</v>
      </c>
      <c r="B19" s="303" t="s">
        <v>234</v>
      </c>
      <c r="C19" s="303"/>
      <c r="D19" s="303"/>
      <c r="E19" s="303"/>
      <c r="F19" s="303"/>
      <c r="G19" s="284"/>
      <c r="H19" s="336">
        <f>'DADOS BÁSICOS 4º ANO'!C18</f>
        <v>150</v>
      </c>
      <c r="I19" s="337"/>
    </row>
    <row r="20" spans="1:9" ht="12.75" customHeight="1">
      <c r="A20" s="43">
        <v>7</v>
      </c>
      <c r="B20" s="284" t="s">
        <v>75</v>
      </c>
      <c r="C20" s="284"/>
      <c r="D20" s="284"/>
      <c r="E20" s="284"/>
      <c r="F20" s="284"/>
      <c r="G20" s="284"/>
      <c r="H20" s="336">
        <f>'DADOS BÁSICOS 4º ANO'!$F$17</f>
        <v>22</v>
      </c>
      <c r="I20" s="337"/>
    </row>
    <row r="21" spans="1:9">
      <c r="A21" s="44" t="s">
        <v>76</v>
      </c>
      <c r="B21" s="38"/>
      <c r="C21" s="38"/>
      <c r="D21" s="38"/>
      <c r="E21" s="38"/>
      <c r="F21" s="38"/>
      <c r="G21" s="38"/>
      <c r="H21" s="39"/>
      <c r="I21" s="40"/>
    </row>
    <row r="22" spans="1:9" ht="12.75" customHeight="1">
      <c r="A22" s="45">
        <v>1</v>
      </c>
      <c r="B22" s="288" t="s">
        <v>77</v>
      </c>
      <c r="C22" s="288"/>
      <c r="D22" s="288"/>
      <c r="E22" s="288"/>
      <c r="F22" s="288"/>
      <c r="G22" s="288"/>
      <c r="H22" s="46" t="s">
        <v>78</v>
      </c>
      <c r="I22" s="47" t="s">
        <v>79</v>
      </c>
    </row>
    <row r="23" spans="1:9" ht="12.75" customHeight="1">
      <c r="A23" s="36" t="s">
        <v>58</v>
      </c>
      <c r="B23" s="286" t="s">
        <v>235</v>
      </c>
      <c r="C23" s="286"/>
      <c r="D23" s="286"/>
      <c r="E23" s="286"/>
      <c r="F23" s="286"/>
      <c r="G23" s="286"/>
      <c r="H23" s="48"/>
      <c r="I23" s="57">
        <f>(H$17/'DADOS BÁSICOS 4º ANO'!$G14)*'DADOS BÁSICOS 4º ANO'!$C$18</f>
        <v>1179.6300000000001</v>
      </c>
    </row>
    <row r="24" spans="1:9" ht="12.75" customHeight="1">
      <c r="A24" s="36" t="s">
        <v>60</v>
      </c>
      <c r="B24" s="335" t="s">
        <v>80</v>
      </c>
      <c r="C24" s="335"/>
      <c r="D24" s="335"/>
      <c r="E24" s="335"/>
      <c r="F24" s="335"/>
      <c r="G24" s="335"/>
      <c r="H24" s="50">
        <v>0.3</v>
      </c>
      <c r="I24" s="71">
        <f>I23*H24</f>
        <v>353.89</v>
      </c>
    </row>
    <row r="25" spans="1:9" s="55" customFormat="1" ht="12.75" customHeight="1">
      <c r="A25" s="52" t="s">
        <v>62</v>
      </c>
      <c r="B25" s="335" t="s">
        <v>81</v>
      </c>
      <c r="C25" s="335"/>
      <c r="D25" s="335"/>
      <c r="E25" s="335"/>
      <c r="F25" s="335"/>
      <c r="G25" s="335"/>
      <c r="H25" s="53"/>
      <c r="I25" s="54"/>
    </row>
    <row r="26" spans="1:9" s="55" customFormat="1" ht="12.75" customHeight="1">
      <c r="A26" s="52" t="s">
        <v>64</v>
      </c>
      <c r="B26" s="286" t="s">
        <v>82</v>
      </c>
      <c r="C26" s="286"/>
      <c r="D26" s="286"/>
      <c r="E26" s="286"/>
      <c r="F26" s="286"/>
      <c r="G26" s="286"/>
      <c r="H26" s="56"/>
      <c r="I26" s="57"/>
    </row>
    <row r="27" spans="1:9" s="55" customFormat="1" ht="12.75" customHeight="1">
      <c r="A27" s="52" t="s">
        <v>66</v>
      </c>
      <c r="B27" s="286" t="s">
        <v>83</v>
      </c>
      <c r="C27" s="286"/>
      <c r="D27" s="286"/>
      <c r="E27" s="326"/>
      <c r="F27" s="326"/>
      <c r="G27" s="326"/>
      <c r="H27" s="58"/>
      <c r="I27" s="57"/>
    </row>
    <row r="28" spans="1:9" s="55" customFormat="1" ht="12.75" customHeight="1">
      <c r="A28" s="59" t="s">
        <v>84</v>
      </c>
      <c r="B28" s="327"/>
      <c r="C28" s="328"/>
      <c r="D28" s="328"/>
      <c r="E28" s="329"/>
      <c r="F28" s="330"/>
      <c r="G28" s="331"/>
      <c r="H28" s="60"/>
      <c r="I28" s="57"/>
    </row>
    <row r="29" spans="1:9" s="55" customFormat="1" ht="12.75" customHeight="1">
      <c r="A29" s="332" t="s">
        <v>85</v>
      </c>
      <c r="B29" s="332"/>
      <c r="C29" s="332"/>
      <c r="D29" s="332"/>
      <c r="E29" s="333"/>
      <c r="F29" s="333"/>
      <c r="G29" s="333"/>
      <c r="H29" s="61"/>
      <c r="I29" s="62">
        <f>SUM(I23:I28)</f>
        <v>1533.52</v>
      </c>
    </row>
    <row r="30" spans="1:9">
      <c r="A30" s="37" t="s">
        <v>86</v>
      </c>
      <c r="B30" s="63"/>
      <c r="C30" s="63"/>
      <c r="D30" s="63"/>
      <c r="E30" s="63"/>
      <c r="F30" s="63"/>
      <c r="G30" s="63"/>
      <c r="H30" s="64"/>
      <c r="I30" s="65"/>
    </row>
    <row r="31" spans="1:9" ht="18" customHeight="1">
      <c r="A31" s="66" t="s">
        <v>87</v>
      </c>
      <c r="B31" s="334" t="s">
        <v>88</v>
      </c>
      <c r="C31" s="334"/>
      <c r="D31" s="334"/>
      <c r="E31" s="334"/>
      <c r="F31" s="334"/>
      <c r="G31" s="334"/>
      <c r="H31" s="67" t="s">
        <v>89</v>
      </c>
      <c r="I31" s="68" t="s">
        <v>79</v>
      </c>
    </row>
    <row r="32" spans="1:9" ht="16.5" customHeight="1">
      <c r="A32" s="69" t="s">
        <v>58</v>
      </c>
      <c r="B32" s="286" t="s">
        <v>90</v>
      </c>
      <c r="C32" s="286"/>
      <c r="D32" s="286"/>
      <c r="E32" s="286"/>
      <c r="F32" s="286"/>
      <c r="G32" s="286"/>
      <c r="H32" s="70">
        <f>1/12</f>
        <v>8.3299999999999999E-2</v>
      </c>
      <c r="I32" s="71">
        <f>I$29*H$32</f>
        <v>127.74</v>
      </c>
    </row>
    <row r="33" spans="1:9" ht="16.5" customHeight="1">
      <c r="A33" s="69" t="s">
        <v>60</v>
      </c>
      <c r="B33" s="286" t="s">
        <v>91</v>
      </c>
      <c r="C33" s="286"/>
      <c r="D33" s="286"/>
      <c r="E33" s="286"/>
      <c r="F33" s="286"/>
      <c r="G33" s="286"/>
      <c r="H33" s="70">
        <f>SUM(H34:H39)</f>
        <v>0.13639999999999999</v>
      </c>
      <c r="I33" s="71">
        <f>SUM(I34:I39)</f>
        <v>209.15</v>
      </c>
    </row>
    <row r="34" spans="1:9" ht="16.5" customHeight="1">
      <c r="A34" s="69"/>
      <c r="B34" s="69" t="s">
        <v>183</v>
      </c>
      <c r="C34" s="302" t="s">
        <v>188</v>
      </c>
      <c r="D34" s="303"/>
      <c r="E34" s="303"/>
      <c r="F34" s="303"/>
      <c r="G34" s="284"/>
      <c r="H34" s="70">
        <f>(1/3)/12</f>
        <v>2.7799999999999998E-2</v>
      </c>
      <c r="I34" s="71">
        <f t="shared" ref="I34:I39" si="0">I$29*H34</f>
        <v>42.63</v>
      </c>
    </row>
    <row r="35" spans="1:9" ht="16.5" customHeight="1">
      <c r="A35" s="72"/>
      <c r="B35" s="72" t="s">
        <v>184</v>
      </c>
      <c r="C35" s="320" t="s">
        <v>205</v>
      </c>
      <c r="D35" s="321"/>
      <c r="E35" s="321"/>
      <c r="F35" s="321"/>
      <c r="G35" s="322"/>
      <c r="H35" s="73">
        <f>1/12</f>
        <v>8.3299999999999999E-2</v>
      </c>
      <c r="I35" s="246">
        <f t="shared" si="0"/>
        <v>127.74</v>
      </c>
    </row>
    <row r="36" spans="1:9" ht="16.5" customHeight="1">
      <c r="A36" s="72"/>
      <c r="B36" s="72" t="s">
        <v>266</v>
      </c>
      <c r="C36" s="320" t="s">
        <v>267</v>
      </c>
      <c r="D36" s="321"/>
      <c r="E36" s="321"/>
      <c r="F36" s="321"/>
      <c r="G36" s="322"/>
      <c r="H36" s="73">
        <f>(1/11)/12</f>
        <v>7.6E-3</v>
      </c>
      <c r="I36" s="74">
        <f t="shared" si="0"/>
        <v>11.65</v>
      </c>
    </row>
    <row r="37" spans="1:9" ht="16.5" customHeight="1">
      <c r="A37" s="76"/>
      <c r="B37" s="76" t="s">
        <v>185</v>
      </c>
      <c r="C37" s="323" t="s">
        <v>206</v>
      </c>
      <c r="D37" s="324"/>
      <c r="E37" s="324"/>
      <c r="F37" s="324"/>
      <c r="G37" s="325"/>
      <c r="H37" s="77">
        <f>((H11/11)/12)/H11</f>
        <v>7.6E-3</v>
      </c>
      <c r="I37" s="226">
        <f t="shared" si="0"/>
        <v>11.65</v>
      </c>
    </row>
    <row r="38" spans="1:9" ht="16.5" customHeight="1">
      <c r="A38" s="76"/>
      <c r="B38" s="76" t="s">
        <v>186</v>
      </c>
      <c r="C38" s="323" t="s">
        <v>207</v>
      </c>
      <c r="D38" s="324"/>
      <c r="E38" s="324"/>
      <c r="F38" s="324"/>
      <c r="G38" s="325"/>
      <c r="H38" s="77">
        <f>H37/3</f>
        <v>2.5000000000000001E-3</v>
      </c>
      <c r="I38" s="226">
        <f t="shared" si="0"/>
        <v>3.83</v>
      </c>
    </row>
    <row r="39" spans="1:9" ht="16.5" customHeight="1">
      <c r="A39" s="76"/>
      <c r="B39" s="76" t="s">
        <v>187</v>
      </c>
      <c r="C39" s="323" t="s">
        <v>208</v>
      </c>
      <c r="D39" s="324"/>
      <c r="E39" s="324"/>
      <c r="F39" s="324"/>
      <c r="G39" s="325"/>
      <c r="H39" s="77">
        <f>((H11/11)/12)/H11</f>
        <v>7.6E-3</v>
      </c>
      <c r="I39" s="226">
        <f t="shared" si="0"/>
        <v>11.65</v>
      </c>
    </row>
    <row r="40" spans="1:9">
      <c r="A40" s="287" t="s">
        <v>85</v>
      </c>
      <c r="B40" s="287"/>
      <c r="C40" s="287"/>
      <c r="D40" s="287"/>
      <c r="E40" s="287"/>
      <c r="F40" s="287"/>
      <c r="G40" s="287"/>
      <c r="H40" s="79">
        <f>SUM(H32:H33)</f>
        <v>0.21970000000000001</v>
      </c>
      <c r="I40" s="80">
        <f>SUM(I32:I33)</f>
        <v>336.89</v>
      </c>
    </row>
    <row r="41" spans="1:9">
      <c r="A41" s="304" t="s">
        <v>92</v>
      </c>
      <c r="B41" s="304"/>
      <c r="C41" s="304"/>
      <c r="D41" s="304"/>
      <c r="E41" s="304"/>
      <c r="F41" s="304"/>
      <c r="G41" s="304"/>
      <c r="H41" s="81" t="s">
        <v>93</v>
      </c>
      <c r="I41" s="82">
        <f>I29</f>
        <v>1533.52</v>
      </c>
    </row>
    <row r="42" spans="1:9">
      <c r="A42" s="304"/>
      <c r="B42" s="304"/>
      <c r="C42" s="304"/>
      <c r="D42" s="304"/>
      <c r="E42" s="304"/>
      <c r="F42" s="304"/>
      <c r="G42" s="304"/>
      <c r="H42" s="81" t="s">
        <v>99</v>
      </c>
      <c r="I42" s="82">
        <f>I40</f>
        <v>336.89</v>
      </c>
    </row>
    <row r="43" spans="1:9">
      <c r="A43" s="304"/>
      <c r="B43" s="304"/>
      <c r="C43" s="304"/>
      <c r="D43" s="304"/>
      <c r="E43" s="304"/>
      <c r="F43" s="304"/>
      <c r="G43" s="304"/>
      <c r="H43" s="81" t="s">
        <v>85</v>
      </c>
      <c r="I43" s="82">
        <f>SUM(I41:I42)</f>
        <v>1870.41</v>
      </c>
    </row>
    <row r="44" spans="1:9" ht="33" customHeight="1">
      <c r="A44" s="37" t="s">
        <v>105</v>
      </c>
      <c r="B44" s="63"/>
      <c r="C44" s="63"/>
      <c r="D44" s="63"/>
      <c r="E44" s="63"/>
      <c r="F44" s="63"/>
      <c r="G44" s="63"/>
      <c r="H44" s="64"/>
      <c r="I44" s="65"/>
    </row>
    <row r="45" spans="1:9" ht="19.5" customHeight="1">
      <c r="A45" s="83" t="s">
        <v>106</v>
      </c>
      <c r="B45" s="288" t="s">
        <v>107</v>
      </c>
      <c r="C45" s="288"/>
      <c r="D45" s="288"/>
      <c r="E45" s="288"/>
      <c r="F45" s="288"/>
      <c r="G45" s="288"/>
      <c r="H45" s="67" t="s">
        <v>89</v>
      </c>
      <c r="I45" s="84" t="s">
        <v>79</v>
      </c>
    </row>
    <row r="46" spans="1:9" ht="12.75" customHeight="1">
      <c r="A46" s="85" t="s">
        <v>58</v>
      </c>
      <c r="B46" s="286" t="s">
        <v>32</v>
      </c>
      <c r="C46" s="286"/>
      <c r="D46" s="286"/>
      <c r="E46" s="286"/>
      <c r="F46" s="286"/>
      <c r="G46" s="286"/>
      <c r="H46" s="50">
        <f>IF('DADOS BÁSICOS 4º ANO'!$B$25="LUCRO PRESUMIDO",'DADOS BÁSICOS 4º ANO'!$B$29,'DADOS BÁSICOS 4º ANO'!$C$29)</f>
        <v>0.2</v>
      </c>
      <c r="I46" s="71">
        <f>I43*H46</f>
        <v>374.08</v>
      </c>
    </row>
    <row r="47" spans="1:9" ht="12.75" customHeight="1">
      <c r="A47" s="85" t="s">
        <v>60</v>
      </c>
      <c r="B47" s="286" t="s">
        <v>108</v>
      </c>
      <c r="C47" s="286"/>
      <c r="D47" s="286"/>
      <c r="E47" s="286"/>
      <c r="F47" s="286"/>
      <c r="G47" s="286"/>
      <c r="H47" s="50">
        <f>IF('DADOS BÁSICOS 4º ANO'!$B$25="LUCRO PRESUMIDO",'DADOS BÁSICOS 4º ANO'!$B$30,'DADOS BÁSICOS 4º ANO'!$C$30)</f>
        <v>2.5000000000000001E-2</v>
      </c>
      <c r="I47" s="71">
        <f>I43*H47</f>
        <v>46.76</v>
      </c>
    </row>
    <row r="48" spans="1:9" ht="17.25" customHeight="1">
      <c r="A48" s="85" t="s">
        <v>62</v>
      </c>
      <c r="B48" s="286" t="s">
        <v>109</v>
      </c>
      <c r="C48" s="286"/>
      <c r="D48" s="286"/>
      <c r="E48" s="286"/>
      <c r="F48" s="286"/>
      <c r="G48" s="286"/>
      <c r="H48" s="50">
        <f>IF('DADOS BÁSICOS 4º ANO'!$B$25="LUCRO PRESUMIDO",'DADOS BÁSICOS 4º ANO'!$B$31,'DADOS BÁSICOS 4º ANO'!$C$31)</f>
        <v>0.03</v>
      </c>
      <c r="I48" s="71">
        <f>I43*H48</f>
        <v>56.11</v>
      </c>
    </row>
    <row r="49" spans="1:10" ht="12.75" customHeight="1">
      <c r="A49" s="85" t="s">
        <v>64</v>
      </c>
      <c r="B49" s="286" t="s">
        <v>35</v>
      </c>
      <c r="C49" s="286"/>
      <c r="D49" s="286"/>
      <c r="E49" s="286"/>
      <c r="F49" s="286"/>
      <c r="G49" s="286"/>
      <c r="H49" s="50">
        <f>IF('DADOS BÁSICOS 4º ANO'!$B$25="LUCRO PRESUMIDO",'DADOS BÁSICOS 4º ANO'!$B$32,'DADOS BÁSICOS 4º ANO'!$C$32)</f>
        <v>1.4999999999999999E-2</v>
      </c>
      <c r="I49" s="71">
        <f>I43*H49</f>
        <v>28.06</v>
      </c>
    </row>
    <row r="50" spans="1:10" ht="12.75" customHeight="1">
      <c r="A50" s="85" t="s">
        <v>66</v>
      </c>
      <c r="B50" s="286" t="s">
        <v>36</v>
      </c>
      <c r="C50" s="286"/>
      <c r="D50" s="286"/>
      <c r="E50" s="286"/>
      <c r="F50" s="286"/>
      <c r="G50" s="286"/>
      <c r="H50" s="50">
        <f>IF('DADOS BÁSICOS 4º ANO'!$B$25="LUCRO PRESUMIDO",'DADOS BÁSICOS 4º ANO'!$B$33,'DADOS BÁSICOS 4º ANO'!$C$33)</f>
        <v>0.01</v>
      </c>
      <c r="I50" s="71">
        <f>I43*H50</f>
        <v>18.7</v>
      </c>
    </row>
    <row r="51" spans="1:10" ht="12.75" customHeight="1">
      <c r="A51" s="85" t="s">
        <v>84</v>
      </c>
      <c r="B51" s="286" t="s">
        <v>37</v>
      </c>
      <c r="C51" s="286"/>
      <c r="D51" s="286"/>
      <c r="E51" s="286"/>
      <c r="F51" s="286"/>
      <c r="G51" s="286"/>
      <c r="H51" s="50">
        <f>IF('DADOS BÁSICOS 4º ANO'!$B$25="LUCRO PRESUMIDO",'DADOS BÁSICOS 4º ANO'!$B$34,'DADOS BÁSICOS 4º ANO'!$C$34)</f>
        <v>6.0000000000000001E-3</v>
      </c>
      <c r="I51" s="71">
        <f>I43*H51</f>
        <v>11.22</v>
      </c>
    </row>
    <row r="52" spans="1:10" ht="12.75" customHeight="1">
      <c r="A52" s="85" t="s">
        <v>110</v>
      </c>
      <c r="B52" s="286" t="s">
        <v>38</v>
      </c>
      <c r="C52" s="286"/>
      <c r="D52" s="286"/>
      <c r="E52" s="286"/>
      <c r="F52" s="286"/>
      <c r="G52" s="286"/>
      <c r="H52" s="50">
        <f>IF('DADOS BÁSICOS 4º ANO'!$B$25="LUCRO PRESUMIDO",'DADOS BÁSICOS 4º ANO'!$B$35,'DADOS BÁSICOS 4º ANO'!$C$35)</f>
        <v>2E-3</v>
      </c>
      <c r="I52" s="71">
        <f>I43*H52</f>
        <v>3.74</v>
      </c>
    </row>
    <row r="53" spans="1:10" ht="12.75" customHeight="1">
      <c r="A53" s="86" t="s">
        <v>111</v>
      </c>
      <c r="B53" s="286" t="s">
        <v>39</v>
      </c>
      <c r="C53" s="286"/>
      <c r="D53" s="286"/>
      <c r="E53" s="286"/>
      <c r="F53" s="286"/>
      <c r="G53" s="286"/>
      <c r="H53" s="50">
        <f>IF('DADOS BÁSICOS 4º ANO'!$B$25="LUCRO PRESUMIDO",'DADOS BÁSICOS 4º ANO'!$B$36,'DADOS BÁSICOS 4º ANO'!$C$36)</f>
        <v>0.08</v>
      </c>
      <c r="I53" s="71">
        <f>I43*H53</f>
        <v>149.63</v>
      </c>
    </row>
    <row r="54" spans="1:10" ht="18.75" customHeight="1">
      <c r="A54" s="287" t="s">
        <v>85</v>
      </c>
      <c r="B54" s="287"/>
      <c r="C54" s="287"/>
      <c r="D54" s="287"/>
      <c r="E54" s="287"/>
      <c r="F54" s="287"/>
      <c r="G54" s="287"/>
      <c r="H54" s="87">
        <f>SUM(H46:H53)</f>
        <v>0.36799999999999999</v>
      </c>
      <c r="I54" s="80">
        <f t="shared" ref="I54" si="1">SUM(I46:I53)</f>
        <v>688.3</v>
      </c>
    </row>
    <row r="55" spans="1:10" ht="33" customHeight="1">
      <c r="A55" s="88" t="s">
        <v>112</v>
      </c>
      <c r="B55" s="88"/>
      <c r="C55" s="88"/>
      <c r="D55" s="88"/>
      <c r="E55" s="88"/>
      <c r="F55" s="88"/>
      <c r="G55" s="88"/>
      <c r="H55" s="89"/>
      <c r="I55" s="90"/>
    </row>
    <row r="56" spans="1:10" ht="17.25" customHeight="1">
      <c r="A56" s="83" t="s">
        <v>113</v>
      </c>
      <c r="B56" s="316" t="s">
        <v>114</v>
      </c>
      <c r="C56" s="316"/>
      <c r="D56" s="316"/>
      <c r="E56" s="316"/>
      <c r="F56" s="316"/>
      <c r="G56" s="316"/>
      <c r="H56" s="39"/>
      <c r="I56" s="91" t="s">
        <v>79</v>
      </c>
    </row>
    <row r="57" spans="1:10">
      <c r="A57" s="69" t="s">
        <v>58</v>
      </c>
      <c r="B57" s="294" t="s">
        <v>115</v>
      </c>
      <c r="C57" s="294"/>
      <c r="D57" s="294"/>
      <c r="E57" s="294"/>
      <c r="F57" s="294"/>
      <c r="G57" s="294"/>
      <c r="H57" s="92"/>
      <c r="I57" s="317">
        <f>IF((H58*H59)-(I23*H60)&gt;0,((H58*H59)-(I23*H60)),0)</f>
        <v>127.22</v>
      </c>
    </row>
    <row r="58" spans="1:10" ht="24.75" customHeight="1">
      <c r="A58" s="69"/>
      <c r="B58" s="286" t="s">
        <v>116</v>
      </c>
      <c r="C58" s="286"/>
      <c r="D58" s="286"/>
      <c r="E58" s="286"/>
      <c r="F58" s="286"/>
      <c r="G58" s="286"/>
      <c r="H58" s="93">
        <f>'DADOS BÁSICOS 4º ANO'!P8</f>
        <v>4.5</v>
      </c>
      <c r="I58" s="318"/>
    </row>
    <row r="59" spans="1:10" ht="12.75" customHeight="1">
      <c r="A59" s="94"/>
      <c r="B59" s="286" t="s">
        <v>117</v>
      </c>
      <c r="C59" s="286"/>
      <c r="D59" s="286"/>
      <c r="E59" s="286"/>
      <c r="F59" s="286"/>
      <c r="G59" s="286"/>
      <c r="H59" s="95">
        <f>'DADOS BÁSICOS 4º ANO'!$O8</f>
        <v>44</v>
      </c>
      <c r="I59" s="318"/>
    </row>
    <row r="60" spans="1:10" ht="12.75" customHeight="1">
      <c r="A60" s="69"/>
      <c r="B60" s="286" t="s">
        <v>118</v>
      </c>
      <c r="C60" s="286"/>
      <c r="D60" s="286"/>
      <c r="E60" s="286"/>
      <c r="F60" s="286"/>
      <c r="G60" s="286"/>
      <c r="H60" s="96">
        <v>0.06</v>
      </c>
      <c r="I60" s="319"/>
    </row>
    <row r="61" spans="1:10" ht="15" customHeight="1">
      <c r="A61" s="69" t="s">
        <v>60</v>
      </c>
      <c r="B61" s="286" t="s">
        <v>119</v>
      </c>
      <c r="C61" s="286"/>
      <c r="D61" s="286"/>
      <c r="E61" s="286"/>
      <c r="F61" s="286"/>
      <c r="G61" s="286"/>
      <c r="H61" s="97"/>
      <c r="I61" s="313">
        <f>H62-(H62*H64)</f>
        <v>360</v>
      </c>
    </row>
    <row r="62" spans="1:10" ht="15" customHeight="1">
      <c r="A62" s="69"/>
      <c r="B62" s="286" t="s">
        <v>256</v>
      </c>
      <c r="C62" s="286"/>
      <c r="D62" s="286"/>
      <c r="E62" s="286"/>
      <c r="F62" s="286"/>
      <c r="G62" s="286"/>
      <c r="H62" s="98">
        <f>'DADOS BÁSICOS 4º ANO'!I8</f>
        <v>450</v>
      </c>
      <c r="I62" s="314"/>
      <c r="J62" s="99"/>
    </row>
    <row r="63" spans="1:10" ht="15" customHeight="1">
      <c r="A63" s="69"/>
      <c r="B63" s="286" t="s">
        <v>258</v>
      </c>
      <c r="C63" s="286"/>
      <c r="D63" s="286"/>
      <c r="E63" s="286"/>
      <c r="F63" s="286"/>
      <c r="G63" s="286"/>
      <c r="H63" s="100"/>
      <c r="I63" s="314"/>
      <c r="J63" s="99"/>
    </row>
    <row r="64" spans="1:10" ht="15" customHeight="1">
      <c r="A64" s="69"/>
      <c r="B64" s="286" t="s">
        <v>257</v>
      </c>
      <c r="C64" s="286"/>
      <c r="D64" s="286"/>
      <c r="E64" s="286"/>
      <c r="F64" s="286"/>
      <c r="G64" s="286"/>
      <c r="H64" s="101">
        <f>'DADOS BÁSICOS 4º ANO'!$N8</f>
        <v>0.2</v>
      </c>
      <c r="I64" s="315"/>
    </row>
    <row r="65" spans="1:9" ht="17.25" customHeight="1">
      <c r="A65" s="69" t="s">
        <v>62</v>
      </c>
      <c r="B65" s="286" t="str">
        <f>'DADOS BÁSICOS 4º ANO'!$J$7</f>
        <v>Auxílio Saúde</v>
      </c>
      <c r="C65" s="286"/>
      <c r="D65" s="286"/>
      <c r="E65" s="286"/>
      <c r="F65" s="286"/>
      <c r="G65" s="286"/>
      <c r="H65" s="102"/>
      <c r="I65" s="57">
        <f>'DADOS BÁSICOS 4º ANO'!$J$8</f>
        <v>64</v>
      </c>
    </row>
    <row r="66" spans="1:9" ht="16" customHeight="1">
      <c r="A66" s="69" t="s">
        <v>64</v>
      </c>
      <c r="B66" s="286" t="str">
        <f>'DADOS BÁSICOS 4º ANO'!$K$7</f>
        <v>Benefício Familiar</v>
      </c>
      <c r="C66" s="286"/>
      <c r="D66" s="286"/>
      <c r="E66" s="286"/>
      <c r="F66" s="286"/>
      <c r="G66" s="286"/>
      <c r="H66" s="103"/>
      <c r="I66" s="104">
        <f>'DADOS BÁSICOS 4º ANO'!$K$8</f>
        <v>21</v>
      </c>
    </row>
    <row r="67" spans="1:9" ht="15" customHeight="1">
      <c r="A67" s="69" t="s">
        <v>66</v>
      </c>
      <c r="B67" s="286" t="str">
        <f>'DADOS BÁSICOS 4º ANO'!$L$7</f>
        <v>Fundo de Fomação Profissional</v>
      </c>
      <c r="C67" s="286"/>
      <c r="D67" s="286"/>
      <c r="E67" s="286"/>
      <c r="F67" s="286"/>
      <c r="G67" s="286"/>
      <c r="H67" s="102"/>
      <c r="I67" s="104">
        <f>'DADOS BÁSICOS 4º ANO'!$L$8</f>
        <v>21</v>
      </c>
    </row>
    <row r="68" spans="1:9" ht="18" customHeight="1">
      <c r="A68" s="72" t="s">
        <v>84</v>
      </c>
      <c r="B68" s="312" t="s">
        <v>200</v>
      </c>
      <c r="C68" s="312"/>
      <c r="D68" s="312"/>
      <c r="E68" s="312"/>
      <c r="F68" s="312"/>
      <c r="G68" s="312"/>
      <c r="H68" s="105">
        <f>1/12</f>
        <v>8.3299999999999999E-2</v>
      </c>
      <c r="I68" s="107">
        <f>I61*H68</f>
        <v>29.99</v>
      </c>
    </row>
    <row r="69" spans="1:9" ht="18" customHeight="1">
      <c r="A69" s="72" t="s">
        <v>268</v>
      </c>
      <c r="B69" s="312" t="s">
        <v>269</v>
      </c>
      <c r="C69" s="312"/>
      <c r="D69" s="312"/>
      <c r="E69" s="312"/>
      <c r="F69" s="312"/>
      <c r="G69" s="312"/>
      <c r="H69" s="105">
        <f>(1/11)/12</f>
        <v>7.6E-3</v>
      </c>
      <c r="I69" s="107">
        <f>I61*H69</f>
        <v>2.74</v>
      </c>
    </row>
    <row r="70" spans="1:9" ht="18" customHeight="1">
      <c r="A70" s="108" t="s">
        <v>110</v>
      </c>
      <c r="B70" s="297" t="s">
        <v>201</v>
      </c>
      <c r="C70" s="297"/>
      <c r="D70" s="297"/>
      <c r="E70" s="297"/>
      <c r="F70" s="297"/>
      <c r="G70" s="297"/>
      <c r="H70" s="109">
        <f>((H11/11)/12)/H11</f>
        <v>7.6E-3</v>
      </c>
      <c r="I70" s="225">
        <f>I61*H70</f>
        <v>2.74</v>
      </c>
    </row>
    <row r="71" spans="1:9" ht="18" customHeight="1">
      <c r="A71" s="76" t="s">
        <v>111</v>
      </c>
      <c r="B71" s="310" t="s">
        <v>202</v>
      </c>
      <c r="C71" s="310"/>
      <c r="D71" s="310"/>
      <c r="E71" s="310"/>
      <c r="F71" s="310"/>
      <c r="G71" s="310"/>
      <c r="H71" s="111">
        <f>(H$11/11)/H$11</f>
        <v>9.0899999999999995E-2</v>
      </c>
      <c r="I71" s="226">
        <f>I65*H71</f>
        <v>5.82</v>
      </c>
    </row>
    <row r="72" spans="1:9" ht="18" customHeight="1">
      <c r="A72" s="76" t="s">
        <v>198</v>
      </c>
      <c r="B72" s="310" t="s">
        <v>203</v>
      </c>
      <c r="C72" s="310"/>
      <c r="D72" s="310"/>
      <c r="E72" s="310"/>
      <c r="F72" s="310"/>
      <c r="G72" s="310"/>
      <c r="H72" s="111">
        <f t="shared" ref="H72:H73" si="2">(H$11/11)/H$11</f>
        <v>9.0899999999999995E-2</v>
      </c>
      <c r="I72" s="226">
        <f>I66*H72</f>
        <v>1.91</v>
      </c>
    </row>
    <row r="73" spans="1:9" ht="18" customHeight="1">
      <c r="A73" s="76" t="s">
        <v>199</v>
      </c>
      <c r="B73" s="310" t="s">
        <v>204</v>
      </c>
      <c r="C73" s="310"/>
      <c r="D73" s="310"/>
      <c r="E73" s="310"/>
      <c r="F73" s="310"/>
      <c r="G73" s="310"/>
      <c r="H73" s="111">
        <f t="shared" si="2"/>
        <v>9.0899999999999995E-2</v>
      </c>
      <c r="I73" s="226">
        <f>I67*H73</f>
        <v>1.91</v>
      </c>
    </row>
    <row r="74" spans="1:9" ht="19.5" customHeight="1">
      <c r="A74" s="287" t="s">
        <v>85</v>
      </c>
      <c r="B74" s="287"/>
      <c r="C74" s="287"/>
      <c r="D74" s="287"/>
      <c r="E74" s="287"/>
      <c r="F74" s="287"/>
      <c r="G74" s="287"/>
      <c r="H74" s="113"/>
      <c r="I74" s="80">
        <f>SUM(I57:I73)</f>
        <v>638.33000000000004</v>
      </c>
    </row>
    <row r="75" spans="1:9" ht="30.75" customHeight="1">
      <c r="A75" s="37" t="s">
        <v>120</v>
      </c>
      <c r="B75" s="63"/>
      <c r="C75" s="63"/>
      <c r="D75" s="63"/>
      <c r="E75" s="63"/>
      <c r="F75" s="63"/>
      <c r="G75" s="63"/>
      <c r="H75" s="64"/>
      <c r="I75" s="65"/>
    </row>
    <row r="76" spans="1:9" ht="20.25" customHeight="1">
      <c r="A76" s="114">
        <v>2</v>
      </c>
      <c r="B76" s="311" t="s">
        <v>121</v>
      </c>
      <c r="C76" s="311"/>
      <c r="D76" s="311"/>
      <c r="E76" s="311"/>
      <c r="F76" s="311"/>
      <c r="G76" s="311"/>
      <c r="H76" s="115"/>
      <c r="I76" s="116" t="s">
        <v>79</v>
      </c>
    </row>
    <row r="77" spans="1:9" ht="12.75" customHeight="1">
      <c r="A77" s="69" t="s">
        <v>87</v>
      </c>
      <c r="B77" s="286" t="s">
        <v>88</v>
      </c>
      <c r="C77" s="286"/>
      <c r="D77" s="286"/>
      <c r="E77" s="286"/>
      <c r="F77" s="286"/>
      <c r="G77" s="286"/>
      <c r="H77" s="48"/>
      <c r="I77" s="71">
        <f>I40</f>
        <v>336.89</v>
      </c>
    </row>
    <row r="78" spans="1:9" ht="12.75" customHeight="1">
      <c r="A78" s="69" t="s">
        <v>106</v>
      </c>
      <c r="B78" s="286" t="s">
        <v>107</v>
      </c>
      <c r="C78" s="286"/>
      <c r="D78" s="286"/>
      <c r="E78" s="286"/>
      <c r="F78" s="286"/>
      <c r="G78" s="286"/>
      <c r="H78" s="48"/>
      <c r="I78" s="71">
        <f>I54</f>
        <v>688.3</v>
      </c>
    </row>
    <row r="79" spans="1:9" ht="12.75" customHeight="1">
      <c r="A79" s="69" t="s">
        <v>113</v>
      </c>
      <c r="B79" s="286" t="s">
        <v>114</v>
      </c>
      <c r="C79" s="286"/>
      <c r="D79" s="286"/>
      <c r="E79" s="286"/>
      <c r="F79" s="286"/>
      <c r="G79" s="286"/>
      <c r="H79" s="48"/>
      <c r="I79" s="71">
        <f>I74</f>
        <v>638.33000000000004</v>
      </c>
    </row>
    <row r="80" spans="1:9">
      <c r="A80" s="304" t="s">
        <v>85</v>
      </c>
      <c r="B80" s="304"/>
      <c r="C80" s="304"/>
      <c r="D80" s="304"/>
      <c r="E80" s="304"/>
      <c r="F80" s="304"/>
      <c r="G80" s="304"/>
      <c r="H80" s="117"/>
      <c r="I80" s="82">
        <f>SUM(I77:I79)</f>
        <v>1663.52</v>
      </c>
    </row>
    <row r="81" spans="1:9" ht="26.25" customHeight="1">
      <c r="A81" s="37" t="s">
        <v>122</v>
      </c>
      <c r="B81" s="118"/>
      <c r="C81" s="118"/>
      <c r="D81" s="118"/>
      <c r="E81" s="118"/>
      <c r="F81" s="118"/>
      <c r="G81" s="118"/>
      <c r="H81" s="64"/>
      <c r="I81" s="65"/>
    </row>
    <row r="82" spans="1:9" ht="26.25" customHeight="1">
      <c r="A82" s="119">
        <v>3</v>
      </c>
      <c r="B82" s="305" t="s">
        <v>123</v>
      </c>
      <c r="C82" s="305"/>
      <c r="D82" s="305"/>
      <c r="E82" s="305"/>
      <c r="F82" s="305"/>
      <c r="G82" s="305"/>
      <c r="H82" s="120" t="s">
        <v>89</v>
      </c>
      <c r="I82" s="47" t="s">
        <v>79</v>
      </c>
    </row>
    <row r="83" spans="1:9">
      <c r="A83" s="121" t="s">
        <v>58</v>
      </c>
      <c r="B83" s="306" t="s">
        <v>124</v>
      </c>
      <c r="C83" s="307"/>
      <c r="D83" s="307"/>
      <c r="E83" s="307"/>
      <c r="F83" s="307"/>
      <c r="G83" s="308"/>
      <c r="H83" s="122">
        <f>((100%/12)*'DADOS BÁSICOS 4º ANO'!$Q8)/10</f>
        <v>2.8E-3</v>
      </c>
      <c r="I83" s="123">
        <f>H83*I$43</f>
        <v>5.24</v>
      </c>
    </row>
    <row r="84" spans="1:9">
      <c r="A84" s="69" t="s">
        <v>60</v>
      </c>
      <c r="B84" s="294" t="s">
        <v>125</v>
      </c>
      <c r="C84" s="294"/>
      <c r="D84" s="294"/>
      <c r="E84" s="294"/>
      <c r="F84" s="294"/>
      <c r="G84" s="294"/>
      <c r="H84" s="124">
        <v>0.08</v>
      </c>
      <c r="I84" s="125">
        <f>I83*H84</f>
        <v>0.42</v>
      </c>
    </row>
    <row r="85" spans="1:9" ht="12.75" customHeight="1">
      <c r="A85" s="126" t="s">
        <v>62</v>
      </c>
      <c r="B85" s="302" t="s">
        <v>126</v>
      </c>
      <c r="C85" s="303"/>
      <c r="D85" s="303"/>
      <c r="E85" s="303"/>
      <c r="F85" s="303"/>
      <c r="G85" s="284"/>
      <c r="H85" s="127">
        <f>8%*40%*'DADOS BÁSICOS 4º ANO'!$Q8</f>
        <v>1.0800000000000001E-2</v>
      </c>
      <c r="I85" s="125">
        <f>I$43*H85</f>
        <v>20.2</v>
      </c>
    </row>
    <row r="86" spans="1:9" ht="17.25" customHeight="1">
      <c r="A86" s="128" t="s">
        <v>64</v>
      </c>
      <c r="B86" s="309" t="s">
        <v>127</v>
      </c>
      <c r="C86" s="309"/>
      <c r="D86" s="309"/>
      <c r="E86" s="309"/>
      <c r="F86" s="309"/>
      <c r="G86" s="309"/>
      <c r="H86" s="247">
        <f>((7/30)/12)/10</f>
        <v>1.944E-3</v>
      </c>
      <c r="I86" s="248">
        <f>H86*I$43</f>
        <v>3.64</v>
      </c>
    </row>
    <row r="87" spans="1:9">
      <c r="A87" s="69" t="s">
        <v>66</v>
      </c>
      <c r="B87" s="294" t="s">
        <v>128</v>
      </c>
      <c r="C87" s="294"/>
      <c r="D87" s="294"/>
      <c r="E87" s="294"/>
      <c r="F87" s="294"/>
      <c r="G87" s="294"/>
      <c r="H87" s="124">
        <f>H54</f>
        <v>0.36799999999999999</v>
      </c>
      <c r="I87" s="131">
        <f>H87*I86</f>
        <v>1.34</v>
      </c>
    </row>
    <row r="88" spans="1:9" ht="12.75" customHeight="1">
      <c r="A88" s="126" t="s">
        <v>84</v>
      </c>
      <c r="B88" s="302" t="s">
        <v>129</v>
      </c>
      <c r="C88" s="303"/>
      <c r="D88" s="303"/>
      <c r="E88" s="303"/>
      <c r="F88" s="303"/>
      <c r="G88" s="284"/>
      <c r="H88" s="127">
        <f>8%*40%*'DADOS BÁSICOS 4º ANO'!$R8</f>
        <v>1.0800000000000001E-2</v>
      </c>
      <c r="I88" s="125">
        <f>I43*H88</f>
        <v>20.2</v>
      </c>
    </row>
    <row r="89" spans="1:9">
      <c r="A89" s="287" t="s">
        <v>85</v>
      </c>
      <c r="B89" s="287"/>
      <c r="C89" s="287"/>
      <c r="D89" s="287"/>
      <c r="E89" s="287"/>
      <c r="F89" s="287"/>
      <c r="G89" s="287"/>
      <c r="H89" s="113"/>
      <c r="I89" s="80">
        <f>SUM(I83:I88)</f>
        <v>51.04</v>
      </c>
    </row>
    <row r="90" spans="1:9">
      <c r="A90" s="304" t="s">
        <v>130</v>
      </c>
      <c r="B90" s="304"/>
      <c r="C90" s="304"/>
      <c r="D90" s="304"/>
      <c r="E90" s="304"/>
      <c r="F90" s="304"/>
      <c r="G90" s="304"/>
      <c r="H90" s="132" t="s">
        <v>93</v>
      </c>
      <c r="I90" s="133">
        <f>I29</f>
        <v>1533.52</v>
      </c>
    </row>
    <row r="91" spans="1:9">
      <c r="A91" s="304"/>
      <c r="B91" s="304"/>
      <c r="C91" s="304"/>
      <c r="D91" s="304"/>
      <c r="E91" s="304"/>
      <c r="F91" s="304"/>
      <c r="G91" s="304"/>
      <c r="H91" s="132" t="s">
        <v>94</v>
      </c>
      <c r="I91" s="133">
        <f>I80</f>
        <v>1663.52</v>
      </c>
    </row>
    <row r="92" spans="1:9">
      <c r="A92" s="304"/>
      <c r="B92" s="304"/>
      <c r="C92" s="304"/>
      <c r="D92" s="304"/>
      <c r="E92" s="304"/>
      <c r="F92" s="304"/>
      <c r="G92" s="304"/>
      <c r="H92" s="132" t="s">
        <v>95</v>
      </c>
      <c r="I92" s="133">
        <f>I89</f>
        <v>51.04</v>
      </c>
    </row>
    <row r="93" spans="1:9">
      <c r="A93" s="304"/>
      <c r="B93" s="304"/>
      <c r="C93" s="304"/>
      <c r="D93" s="304"/>
      <c r="E93" s="304"/>
      <c r="F93" s="304"/>
      <c r="G93" s="304"/>
      <c r="H93" s="132" t="s">
        <v>85</v>
      </c>
      <c r="I93" s="133">
        <f>SUM(I90:I92)</f>
        <v>3248.08</v>
      </c>
    </row>
    <row r="94" spans="1:9" ht="26.25" customHeight="1">
      <c r="A94" s="37" t="s">
        <v>131</v>
      </c>
      <c r="B94" s="134"/>
      <c r="C94" s="134"/>
      <c r="D94" s="134"/>
      <c r="E94" s="134"/>
      <c r="F94" s="134"/>
      <c r="G94" s="134"/>
      <c r="H94" s="135"/>
      <c r="I94" s="136"/>
    </row>
    <row r="95" spans="1:9" s="137" customFormat="1" ht="63.75" customHeight="1">
      <c r="A95" s="138" t="s">
        <v>132</v>
      </c>
      <c r="B95" s="63" t="s">
        <v>133</v>
      </c>
      <c r="C95" s="63"/>
      <c r="D95" s="63"/>
      <c r="E95" s="63"/>
      <c r="F95" s="63"/>
      <c r="G95" s="63"/>
      <c r="H95" s="67" t="s">
        <v>134</v>
      </c>
      <c r="I95" s="68" t="s">
        <v>79</v>
      </c>
    </row>
    <row r="96" spans="1:9" s="137" customFormat="1" ht="16.5" customHeight="1">
      <c r="A96" s="69" t="s">
        <v>58</v>
      </c>
      <c r="B96" s="301" t="s">
        <v>135</v>
      </c>
      <c r="C96" s="301"/>
      <c r="D96" s="301"/>
      <c r="E96" s="301"/>
      <c r="F96" s="301"/>
      <c r="G96" s="301"/>
      <c r="H96" s="139">
        <f>'DADOS BÁSICOS 4º ANO'!$H$59</f>
        <v>4.8734000000000002</v>
      </c>
      <c r="I96" s="71">
        <f>SUM(I97:I104)</f>
        <v>43.98</v>
      </c>
    </row>
    <row r="97" spans="1:9" s="137" customFormat="1" ht="16.5" customHeight="1">
      <c r="A97" s="140" t="s">
        <v>219</v>
      </c>
      <c r="B97" s="300" t="s">
        <v>211</v>
      </c>
      <c r="C97" s="300"/>
      <c r="D97" s="300"/>
      <c r="E97" s="300"/>
      <c r="F97" s="300"/>
      <c r="G97" s="300"/>
      <c r="H97" s="139">
        <f>'DADOS BÁSICOS 4º ANO'!$H$60</f>
        <v>1</v>
      </c>
      <c r="I97" s="141">
        <f>((I$93/30)*H97)/H$10</f>
        <v>9.02</v>
      </c>
    </row>
    <row r="98" spans="1:9" s="137" customFormat="1" ht="16.5" customHeight="1">
      <c r="A98" s="140" t="s">
        <v>221</v>
      </c>
      <c r="B98" s="300" t="s">
        <v>212</v>
      </c>
      <c r="C98" s="300"/>
      <c r="D98" s="300"/>
      <c r="E98" s="300"/>
      <c r="F98" s="300"/>
      <c r="G98" s="300"/>
      <c r="H98" s="139">
        <f>'DADOS BÁSICOS 4º ANO'!$H$61</f>
        <v>3.4929999999999999</v>
      </c>
      <c r="I98" s="141">
        <f>((I$93/30)*H98)/H$10</f>
        <v>31.52</v>
      </c>
    </row>
    <row r="99" spans="1:9" s="137" customFormat="1" ht="16.5" customHeight="1">
      <c r="A99" s="140" t="s">
        <v>222</v>
      </c>
      <c r="B99" s="300" t="s">
        <v>213</v>
      </c>
      <c r="C99" s="300"/>
      <c r="D99" s="300"/>
      <c r="E99" s="300"/>
      <c r="F99" s="300"/>
      <c r="G99" s="300"/>
      <c r="H99" s="139">
        <f>'DADOS BÁSICOS 4º ANO'!$H$62</f>
        <v>0.26879999999999998</v>
      </c>
      <c r="I99" s="141">
        <f t="shared" ref="I99:I108" si="3">(I$93/30)*(H99/H$10)</f>
        <v>2.4300000000000002</v>
      </c>
    </row>
    <row r="100" spans="1:9" s="137" customFormat="1" ht="16.5" customHeight="1">
      <c r="A100" s="140" t="s">
        <v>228</v>
      </c>
      <c r="B100" s="300" t="s">
        <v>214</v>
      </c>
      <c r="C100" s="300"/>
      <c r="D100" s="300"/>
      <c r="E100" s="300"/>
      <c r="F100" s="300"/>
      <c r="G100" s="300"/>
      <c r="H100" s="139">
        <f>'DADOS BÁSICOS 4º ANO'!$H$63</f>
        <v>4.2599999999999999E-2</v>
      </c>
      <c r="I100" s="141">
        <f t="shared" si="3"/>
        <v>0.38</v>
      </c>
    </row>
    <row r="101" spans="1:9" s="137" customFormat="1">
      <c r="A101" s="140" t="s">
        <v>229</v>
      </c>
      <c r="B101" s="300" t="s">
        <v>215</v>
      </c>
      <c r="C101" s="300"/>
      <c r="D101" s="300"/>
      <c r="E101" s="300"/>
      <c r="F101" s="300"/>
      <c r="G101" s="300"/>
      <c r="H101" s="139">
        <f>'DADOS BÁSICOS 4º ANO'!$H$64</f>
        <v>3.5400000000000001E-2</v>
      </c>
      <c r="I101" s="141">
        <f t="shared" si="3"/>
        <v>0.32</v>
      </c>
    </row>
    <row r="102" spans="1:9" ht="16.5" customHeight="1">
      <c r="A102" s="140" t="s">
        <v>230</v>
      </c>
      <c r="B102" s="300" t="s">
        <v>216</v>
      </c>
      <c r="C102" s="300"/>
      <c r="D102" s="300"/>
      <c r="E102" s="300"/>
      <c r="F102" s="300"/>
      <c r="G102" s="300"/>
      <c r="H102" s="139">
        <f>'DADOS BÁSICOS 4º ANO'!$H$65</f>
        <v>0.02</v>
      </c>
      <c r="I102" s="141">
        <f t="shared" si="3"/>
        <v>0.18</v>
      </c>
    </row>
    <row r="103" spans="1:9" ht="16.5" customHeight="1">
      <c r="A103" s="140" t="s">
        <v>231</v>
      </c>
      <c r="B103" s="300" t="s">
        <v>217</v>
      </c>
      <c r="C103" s="300"/>
      <c r="D103" s="300"/>
      <c r="E103" s="300"/>
      <c r="F103" s="300"/>
      <c r="G103" s="300"/>
      <c r="H103" s="139">
        <f>'DADOS BÁSICOS 4º ANO'!$H$66</f>
        <v>4.0000000000000001E-3</v>
      </c>
      <c r="I103" s="141">
        <f t="shared" si="3"/>
        <v>0.04</v>
      </c>
    </row>
    <row r="104" spans="1:9" ht="16.5" customHeight="1">
      <c r="A104" s="140" t="s">
        <v>232</v>
      </c>
      <c r="B104" s="300" t="s">
        <v>218</v>
      </c>
      <c r="C104" s="300"/>
      <c r="D104" s="300"/>
      <c r="E104" s="300"/>
      <c r="F104" s="300"/>
      <c r="G104" s="300"/>
      <c r="H104" s="139">
        <f>'DADOS BÁSICOS 4º ANO'!$H$67</f>
        <v>9.5999999999999992E-3</v>
      </c>
      <c r="I104" s="141">
        <f t="shared" si="3"/>
        <v>0.09</v>
      </c>
    </row>
    <row r="105" spans="1:9" ht="16.5" customHeight="1">
      <c r="A105" s="69" t="s">
        <v>60</v>
      </c>
      <c r="B105" s="301" t="s">
        <v>136</v>
      </c>
      <c r="C105" s="301"/>
      <c r="D105" s="301"/>
      <c r="E105" s="301"/>
      <c r="F105" s="301"/>
      <c r="G105" s="301"/>
      <c r="H105" s="139">
        <f>'DADOS BÁSICOS 4º ANO'!$H$68</f>
        <v>0.19980000000000001</v>
      </c>
      <c r="I105" s="71">
        <f t="shared" si="3"/>
        <v>1.8</v>
      </c>
    </row>
    <row r="106" spans="1:9" ht="16.5" customHeight="1">
      <c r="A106" s="69" t="s">
        <v>62</v>
      </c>
      <c r="B106" s="301" t="s">
        <v>137</v>
      </c>
      <c r="C106" s="301"/>
      <c r="D106" s="301"/>
      <c r="E106" s="301"/>
      <c r="F106" s="301"/>
      <c r="G106" s="301"/>
      <c r="H106" s="139">
        <f>'DADOS BÁSICOS 4º ANO'!$H$69</f>
        <v>0.96619999999999995</v>
      </c>
      <c r="I106" s="71">
        <f t="shared" si="3"/>
        <v>8.7200000000000006</v>
      </c>
    </row>
    <row r="107" spans="1:9" ht="16.5" customHeight="1">
      <c r="A107" s="69" t="s">
        <v>64</v>
      </c>
      <c r="B107" s="301" t="s">
        <v>138</v>
      </c>
      <c r="C107" s="301"/>
      <c r="D107" s="301"/>
      <c r="E107" s="301"/>
      <c r="F107" s="301"/>
      <c r="G107" s="301"/>
      <c r="H107" s="139">
        <f>'DADOS BÁSICOS 4º ANO'!$H$70</f>
        <v>2.4771999999999998</v>
      </c>
      <c r="I107" s="71">
        <f t="shared" si="3"/>
        <v>22.35</v>
      </c>
    </row>
    <row r="108" spans="1:9" ht="16.5" customHeight="1">
      <c r="A108" s="41" t="s">
        <v>66</v>
      </c>
      <c r="B108" s="301" t="s">
        <v>139</v>
      </c>
      <c r="C108" s="301"/>
      <c r="D108" s="301"/>
      <c r="E108" s="301"/>
      <c r="F108" s="301"/>
      <c r="G108" s="301"/>
      <c r="H108" s="139">
        <f>'DADOS BÁSICOS 4º ANO'!$H$71</f>
        <v>0</v>
      </c>
      <c r="I108" s="71">
        <f t="shared" si="3"/>
        <v>0</v>
      </c>
    </row>
    <row r="109" spans="1:9">
      <c r="A109" s="287" t="s">
        <v>85</v>
      </c>
      <c r="B109" s="287"/>
      <c r="C109" s="287"/>
      <c r="D109" s="287"/>
      <c r="E109" s="287"/>
      <c r="F109" s="287"/>
      <c r="G109" s="287"/>
      <c r="H109" s="142">
        <f>H96+H105+H106+H107+H108</f>
        <v>8.5166000000000004</v>
      </c>
      <c r="I109" s="80">
        <f>I96+I105+I106+I107+I108</f>
        <v>76.849999999999994</v>
      </c>
    </row>
    <row r="110" spans="1:9">
      <c r="A110" s="143" t="s">
        <v>140</v>
      </c>
      <c r="B110" s="290" t="s">
        <v>141</v>
      </c>
      <c r="C110" s="290"/>
      <c r="D110" s="290"/>
      <c r="E110" s="290"/>
      <c r="F110" s="290"/>
      <c r="G110" s="290"/>
      <c r="H110" s="144"/>
      <c r="I110" s="145" t="s">
        <v>79</v>
      </c>
    </row>
    <row r="111" spans="1:9" ht="16.5" customHeight="1">
      <c r="A111" s="69" t="s">
        <v>58</v>
      </c>
      <c r="B111" s="286" t="s">
        <v>142</v>
      </c>
      <c r="C111" s="286"/>
      <c r="D111" s="286"/>
      <c r="E111" s="286"/>
      <c r="F111" s="286"/>
      <c r="G111" s="286"/>
      <c r="H111" s="48"/>
      <c r="I111" s="146">
        <v>0</v>
      </c>
    </row>
    <row r="112" spans="1:9" ht="14.25" customHeight="1">
      <c r="A112" s="287" t="s">
        <v>85</v>
      </c>
      <c r="B112" s="287"/>
      <c r="C112" s="287"/>
      <c r="D112" s="287"/>
      <c r="E112" s="287"/>
      <c r="F112" s="287"/>
      <c r="G112" s="287"/>
      <c r="H112" s="113"/>
      <c r="I112" s="147">
        <f>SUM(I111:I111)</f>
        <v>0</v>
      </c>
    </row>
    <row r="113" spans="1:9">
      <c r="A113" s="37" t="s">
        <v>143</v>
      </c>
      <c r="B113" s="63"/>
      <c r="C113" s="63"/>
      <c r="D113" s="63"/>
      <c r="E113" s="63"/>
      <c r="F113" s="63"/>
      <c r="G113" s="63"/>
      <c r="H113" s="64"/>
      <c r="I113" s="65"/>
    </row>
    <row r="114" spans="1:9" ht="16.5" customHeight="1">
      <c r="A114" s="66">
        <v>4</v>
      </c>
      <c r="B114" s="288" t="s">
        <v>144</v>
      </c>
      <c r="C114" s="288"/>
      <c r="D114" s="288"/>
      <c r="E114" s="288"/>
      <c r="F114" s="288"/>
      <c r="G114" s="288"/>
      <c r="H114" s="148"/>
      <c r="I114" s="68" t="s">
        <v>79</v>
      </c>
    </row>
    <row r="115" spans="1:9" ht="16.5" customHeight="1">
      <c r="A115" s="85" t="s">
        <v>132</v>
      </c>
      <c r="B115" s="284" t="s">
        <v>133</v>
      </c>
      <c r="C115" s="284"/>
      <c r="D115" s="284"/>
      <c r="E115" s="284"/>
      <c r="F115" s="284"/>
      <c r="G115" s="284"/>
      <c r="H115" s="149"/>
      <c r="I115" s="71">
        <f>I109</f>
        <v>76.849999999999994</v>
      </c>
    </row>
    <row r="116" spans="1:9" ht="16.5" customHeight="1">
      <c r="A116" s="85" t="s">
        <v>140</v>
      </c>
      <c r="B116" s="299" t="s">
        <v>145</v>
      </c>
      <c r="C116" s="299"/>
      <c r="D116" s="299"/>
      <c r="E116" s="299"/>
      <c r="F116" s="299"/>
      <c r="G116" s="299"/>
      <c r="H116" s="150"/>
      <c r="I116" s="71">
        <f>I112</f>
        <v>0</v>
      </c>
    </row>
    <row r="117" spans="1:9">
      <c r="A117" s="298" t="s">
        <v>85</v>
      </c>
      <c r="B117" s="298"/>
      <c r="C117" s="298"/>
      <c r="D117" s="298"/>
      <c r="E117" s="298"/>
      <c r="F117" s="298"/>
      <c r="G117" s="298"/>
      <c r="H117" s="151"/>
      <c r="I117" s="80">
        <f>SUM(I115:I116)</f>
        <v>76.849999999999994</v>
      </c>
    </row>
    <row r="118" spans="1:9" ht="24" customHeight="1">
      <c r="A118" s="37" t="s">
        <v>146</v>
      </c>
      <c r="B118" s="38"/>
      <c r="C118" s="38"/>
      <c r="D118" s="38"/>
      <c r="E118" s="38"/>
      <c r="F118" s="38"/>
      <c r="G118" s="38"/>
      <c r="H118" s="39"/>
      <c r="I118" s="40"/>
    </row>
    <row r="119" spans="1:9" ht="16.5" customHeight="1">
      <c r="A119" s="66">
        <v>5</v>
      </c>
      <c r="B119" s="288" t="s">
        <v>147</v>
      </c>
      <c r="C119" s="288"/>
      <c r="D119" s="288"/>
      <c r="E119" s="288"/>
      <c r="F119" s="288"/>
      <c r="G119" s="288"/>
      <c r="H119" s="148"/>
      <c r="I119" s="68" t="s">
        <v>79</v>
      </c>
    </row>
    <row r="120" spans="1:9">
      <c r="A120" s="154" t="s">
        <v>58</v>
      </c>
      <c r="B120" s="295" t="s">
        <v>40</v>
      </c>
      <c r="C120" s="295"/>
      <c r="D120" s="295"/>
      <c r="E120" s="295"/>
      <c r="F120" s="295"/>
      <c r="G120" s="295"/>
      <c r="H120" s="149"/>
      <c r="I120" s="71">
        <f>SUM(I121:I123)</f>
        <v>71.23</v>
      </c>
    </row>
    <row r="121" spans="1:9" ht="16.5" customHeight="1">
      <c r="A121" s="155" t="s">
        <v>219</v>
      </c>
      <c r="B121" s="286" t="s">
        <v>220</v>
      </c>
      <c r="C121" s="286"/>
      <c r="D121" s="286"/>
      <c r="E121" s="286"/>
      <c r="F121" s="286"/>
      <c r="G121" s="286"/>
      <c r="H121" s="149"/>
      <c r="I121" s="71">
        <f>'DADOS BÁSICOS 4º ANO'!$D$46</f>
        <v>35.61</v>
      </c>
    </row>
    <row r="122" spans="1:9" ht="16.5" customHeight="1">
      <c r="A122" s="158" t="s">
        <v>221</v>
      </c>
      <c r="B122" s="296" t="s">
        <v>223</v>
      </c>
      <c r="C122" s="296"/>
      <c r="D122" s="296"/>
      <c r="E122" s="296"/>
      <c r="F122" s="296"/>
      <c r="G122" s="296"/>
      <c r="H122" s="159">
        <f>(ROUNDUP(((H109*H11)/(365*0.6986)),0))/H11</f>
        <v>0.5</v>
      </c>
      <c r="I122" s="249">
        <f>'DADOS BÁSICOS 4º ANO'!$D$46*H122</f>
        <v>17.809999999999999</v>
      </c>
    </row>
    <row r="123" spans="1:9" ht="16.5" customHeight="1">
      <c r="A123" s="108" t="s">
        <v>222</v>
      </c>
      <c r="B123" s="297" t="s">
        <v>209</v>
      </c>
      <c r="C123" s="297"/>
      <c r="D123" s="297"/>
      <c r="E123" s="297"/>
      <c r="F123" s="297"/>
      <c r="G123" s="297"/>
      <c r="H123" s="161">
        <f>((ROUNDUP((H11/11),0))/H11)</f>
        <v>0.5</v>
      </c>
      <c r="I123" s="250">
        <f>'DADOS BÁSICOS 4º ANO'!$D$46*H123</f>
        <v>17.809999999999999</v>
      </c>
    </row>
    <row r="124" spans="1:9" ht="12.75" customHeight="1">
      <c r="A124" s="154" t="s">
        <v>60</v>
      </c>
      <c r="B124" s="295" t="s">
        <v>44</v>
      </c>
      <c r="C124" s="295"/>
      <c r="D124" s="295"/>
      <c r="E124" s="295"/>
      <c r="F124" s="295"/>
      <c r="G124" s="295"/>
      <c r="H124" s="149"/>
      <c r="I124" s="163">
        <f>'DADOS BÁSICOS 4º ANO'!$D$50/H10</f>
        <v>0</v>
      </c>
    </row>
    <row r="125" spans="1:9" ht="12.75" customHeight="1">
      <c r="A125" s="154" t="s">
        <v>62</v>
      </c>
      <c r="B125" s="295" t="s">
        <v>47</v>
      </c>
      <c r="C125" s="295"/>
      <c r="D125" s="295"/>
      <c r="E125" s="295"/>
      <c r="F125" s="295"/>
      <c r="G125" s="295"/>
      <c r="H125" s="149"/>
      <c r="I125" s="163">
        <f>SUM(I126:I128)</f>
        <v>0.24</v>
      </c>
    </row>
    <row r="126" spans="1:9" ht="12.75" customHeight="1">
      <c r="A126" s="69" t="s">
        <v>224</v>
      </c>
      <c r="B126" s="286" t="s">
        <v>226</v>
      </c>
      <c r="C126" s="286"/>
      <c r="D126" s="286"/>
      <c r="E126" s="286"/>
      <c r="F126" s="286"/>
      <c r="G126" s="286"/>
      <c r="H126" s="149"/>
      <c r="I126" s="163">
        <f>('DADOS BÁSICOS 4º ANO'!$G$54/'DADOS BÁSICOS 4º ANO'!$C$54)/(H$11+'RECEPÇÃO 4º ANO'!$H$11)</f>
        <v>0.28999999999999998</v>
      </c>
    </row>
    <row r="127" spans="1:9" ht="16.5" customHeight="1">
      <c r="A127" s="158" t="s">
        <v>225</v>
      </c>
      <c r="B127" s="296" t="s">
        <v>227</v>
      </c>
      <c r="C127" s="296"/>
      <c r="D127" s="296"/>
      <c r="E127" s="296"/>
      <c r="F127" s="296"/>
      <c r="G127" s="296"/>
      <c r="H127" s="159"/>
      <c r="I127" s="165">
        <f>(('DADOS BÁSICOS LICITAÇÃO'!$G$54/'DADOS BÁSICOS LICITAÇÃO'!$C$54)/(H$11+'RECEPÇÃO 4º ANO'!$H$11+(ROUNDUP(((H109*H11)/(365*0.6986)),0)+(ROUNDUP((('RECEPÇÃO 4º ANO'!H109*'RECEPÇÃO 4º ANO'!H11)/(365*0.6986)),0))))-I126)</f>
        <v>-0.02</v>
      </c>
    </row>
    <row r="128" spans="1:9" ht="19.5" customHeight="1">
      <c r="A128" s="108" t="s">
        <v>225</v>
      </c>
      <c r="B128" s="297" t="s">
        <v>210</v>
      </c>
      <c r="C128" s="297"/>
      <c r="D128" s="297"/>
      <c r="E128" s="297"/>
      <c r="F128" s="297"/>
      <c r="G128" s="297"/>
      <c r="H128" s="161"/>
      <c r="I128" s="251">
        <f>(('DADOS BÁSICOS 4º ANO'!$G$54/'DADOS BÁSICOS 4º ANO'!$C$54)/(H$11+'RECEPÇÃO 4º ANO'!$H$11+ROUNDUP((H11/11),0)+ROUNDUP(('RECEPÇÃO 4º ANO'!H11/11),0)))-I126</f>
        <v>-0.03</v>
      </c>
    </row>
    <row r="129" spans="1:9" ht="12.75" customHeight="1">
      <c r="A129" s="287" t="s">
        <v>85</v>
      </c>
      <c r="B129" s="287"/>
      <c r="C129" s="287"/>
      <c r="D129" s="287"/>
      <c r="E129" s="287"/>
      <c r="F129" s="287"/>
      <c r="G129" s="287"/>
      <c r="H129" s="113"/>
      <c r="I129" s="167">
        <f>I120+I124+I125</f>
        <v>71.47</v>
      </c>
    </row>
    <row r="130" spans="1:9" ht="12.75" customHeight="1">
      <c r="A130" s="289" t="s">
        <v>148</v>
      </c>
      <c r="B130" s="289"/>
      <c r="C130" s="289"/>
      <c r="D130" s="289"/>
      <c r="E130" s="289"/>
      <c r="F130" s="289"/>
      <c r="G130" s="289"/>
      <c r="H130" s="132" t="s">
        <v>93</v>
      </c>
      <c r="I130" s="168">
        <f>I29</f>
        <v>1533.52</v>
      </c>
    </row>
    <row r="131" spans="1:9" ht="16.5" customHeight="1">
      <c r="A131" s="289"/>
      <c r="B131" s="289"/>
      <c r="C131" s="289"/>
      <c r="D131" s="289"/>
      <c r="E131" s="289"/>
      <c r="F131" s="289"/>
      <c r="G131" s="289"/>
      <c r="H131" s="132" t="s">
        <v>94</v>
      </c>
      <c r="I131" s="168">
        <f>I80</f>
        <v>1663.52</v>
      </c>
    </row>
    <row r="132" spans="1:9" ht="12.75" customHeight="1">
      <c r="A132" s="289"/>
      <c r="B132" s="289"/>
      <c r="C132" s="289"/>
      <c r="D132" s="289"/>
      <c r="E132" s="289"/>
      <c r="F132" s="289"/>
      <c r="G132" s="289"/>
      <c r="H132" s="132" t="s">
        <v>95</v>
      </c>
      <c r="I132" s="168">
        <f>I89</f>
        <v>51.04</v>
      </c>
    </row>
    <row r="133" spans="1:9">
      <c r="A133" s="289"/>
      <c r="B133" s="289"/>
      <c r="C133" s="289"/>
      <c r="D133" s="289"/>
      <c r="E133" s="289"/>
      <c r="F133" s="289"/>
      <c r="G133" s="289"/>
      <c r="H133" s="132" t="s">
        <v>96</v>
      </c>
      <c r="I133" s="168">
        <f>I117</f>
        <v>76.849999999999994</v>
      </c>
    </row>
    <row r="134" spans="1:9">
      <c r="A134" s="289"/>
      <c r="B134" s="289"/>
      <c r="C134" s="289"/>
      <c r="D134" s="289"/>
      <c r="E134" s="289"/>
      <c r="F134" s="289"/>
      <c r="G134" s="289"/>
      <c r="H134" s="132" t="s">
        <v>97</v>
      </c>
      <c r="I134" s="82">
        <f>I129</f>
        <v>71.47</v>
      </c>
    </row>
    <row r="135" spans="1:9">
      <c r="A135" s="289"/>
      <c r="B135" s="289"/>
      <c r="C135" s="289"/>
      <c r="D135" s="289"/>
      <c r="E135" s="289"/>
      <c r="F135" s="289"/>
      <c r="G135" s="289"/>
      <c r="H135" s="132" t="s">
        <v>85</v>
      </c>
      <c r="I135" s="82">
        <f>SUM(I130:I134)</f>
        <v>3396.4</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4º ANO'!$S8</f>
        <v>0.05</v>
      </c>
      <c r="I138" s="71">
        <f>(H138*I135)</f>
        <v>169.82</v>
      </c>
    </row>
    <row r="139" spans="1:9">
      <c r="A139" s="69" t="s">
        <v>60</v>
      </c>
      <c r="B139" s="291" t="s">
        <v>152</v>
      </c>
      <c r="C139" s="292"/>
      <c r="D139" s="292"/>
      <c r="E139" s="292"/>
      <c r="F139" s="292"/>
      <c r="G139" s="293"/>
      <c r="H139" s="124">
        <f>'DADOS BÁSICOS 4º ANO'!$T8</f>
        <v>0.05</v>
      </c>
      <c r="I139" s="71">
        <f>H139*(I135+I138)</f>
        <v>178.31</v>
      </c>
    </row>
    <row r="140" spans="1:9">
      <c r="A140" s="69" t="s">
        <v>62</v>
      </c>
      <c r="B140" s="294" t="s">
        <v>153</v>
      </c>
      <c r="C140" s="294"/>
      <c r="D140" s="294"/>
      <c r="E140" s="294"/>
      <c r="F140" s="294"/>
      <c r="G140" s="294"/>
      <c r="H140" s="169">
        <f>SUM(H141+H142+H143)</f>
        <v>8.6499999999999994E-2</v>
      </c>
      <c r="I140" s="170">
        <f>SUM(I141:I143)</f>
        <v>354.57</v>
      </c>
    </row>
    <row r="141" spans="1:9">
      <c r="A141" s="154"/>
      <c r="B141" s="286" t="s">
        <v>154</v>
      </c>
      <c r="C141" s="286"/>
      <c r="D141" s="286"/>
      <c r="E141" s="286"/>
      <c r="F141" s="286"/>
      <c r="G141" s="286"/>
      <c r="H141" s="127">
        <f>IF('DADOS BÁSICOS 4º ANO'!$B$25="LUCRO PRESUMIDO",'DADOS BÁSICOS 4º ANO'!$B$28,'DADOS BÁSICOS 4º ANO'!$C$28)</f>
        <v>0.03</v>
      </c>
      <c r="I141" s="71">
        <f>SUM(H141*I154)</f>
        <v>122.97</v>
      </c>
    </row>
    <row r="142" spans="1:9">
      <c r="A142" s="154"/>
      <c r="B142" s="286" t="s">
        <v>155</v>
      </c>
      <c r="C142" s="286"/>
      <c r="D142" s="286"/>
      <c r="E142" s="286"/>
      <c r="F142" s="286"/>
      <c r="G142" s="286"/>
      <c r="H142" s="127">
        <f>IF('DADOS BÁSICOS 4º ANO'!$B$25="LUCRO PRESUMIDO",'DADOS BÁSICOS 4º ANO'!$B$27,'DADOS BÁSICOS 4º ANO'!$C$27)</f>
        <v>6.4999999999999997E-3</v>
      </c>
      <c r="I142" s="71">
        <f>SUM(H142*I154)</f>
        <v>26.64</v>
      </c>
    </row>
    <row r="143" spans="1:9">
      <c r="A143" s="154"/>
      <c r="B143" s="286" t="s">
        <v>156</v>
      </c>
      <c r="C143" s="286"/>
      <c r="D143" s="286"/>
      <c r="E143" s="286"/>
      <c r="F143" s="286"/>
      <c r="G143" s="286"/>
      <c r="H143" s="127">
        <f>'DADOS BÁSICOS 4º ANO'!U8</f>
        <v>0.05</v>
      </c>
      <c r="I143" s="71">
        <f>SUM(H143*I154)</f>
        <v>204.96</v>
      </c>
    </row>
    <row r="144" spans="1:9">
      <c r="A144" s="287" t="s">
        <v>85</v>
      </c>
      <c r="B144" s="287"/>
      <c r="C144" s="287"/>
      <c r="D144" s="287"/>
      <c r="E144" s="287"/>
      <c r="F144" s="287"/>
      <c r="G144" s="287"/>
      <c r="H144" s="171"/>
      <c r="I144" s="80">
        <f>SUM(I138+I139+I141+I142+I143)</f>
        <v>702.7</v>
      </c>
    </row>
    <row r="145" spans="1:9">
      <c r="A145" s="172" t="s">
        <v>157</v>
      </c>
      <c r="B145" s="173"/>
      <c r="C145" s="173"/>
      <c r="D145" s="173"/>
      <c r="E145" s="173"/>
      <c r="F145" s="173"/>
      <c r="G145" s="173"/>
      <c r="H145" s="174"/>
      <c r="I145" s="175"/>
    </row>
    <row r="146" spans="1:9">
      <c r="A146" s="288" t="s">
        <v>158</v>
      </c>
      <c r="B146" s="288"/>
      <c r="C146" s="288"/>
      <c r="D146" s="288"/>
      <c r="E146" s="288"/>
      <c r="F146" s="288"/>
      <c r="G146" s="288"/>
      <c r="H146" s="148"/>
      <c r="I146" s="84" t="s">
        <v>79</v>
      </c>
    </row>
    <row r="147" spans="1:9">
      <c r="A147" s="176" t="s">
        <v>58</v>
      </c>
      <c r="B147" s="284" t="s">
        <v>159</v>
      </c>
      <c r="C147" s="284"/>
      <c r="D147" s="284"/>
      <c r="E147" s="284"/>
      <c r="F147" s="284"/>
      <c r="G147" s="284"/>
      <c r="H147" s="48"/>
      <c r="I147" s="177">
        <f>I29</f>
        <v>1533.52</v>
      </c>
    </row>
    <row r="148" spans="1:9">
      <c r="A148" s="176" t="s">
        <v>60</v>
      </c>
      <c r="B148" s="284" t="s">
        <v>121</v>
      </c>
      <c r="C148" s="284"/>
      <c r="D148" s="284"/>
      <c r="E148" s="284"/>
      <c r="F148" s="284"/>
      <c r="G148" s="284"/>
      <c r="H148" s="178"/>
      <c r="I148" s="177">
        <f>I80</f>
        <v>1663.52</v>
      </c>
    </row>
    <row r="149" spans="1:9">
      <c r="A149" s="176" t="s">
        <v>62</v>
      </c>
      <c r="B149" s="284" t="s">
        <v>160</v>
      </c>
      <c r="C149" s="284"/>
      <c r="D149" s="284"/>
      <c r="E149" s="284"/>
      <c r="F149" s="284"/>
      <c r="G149" s="284"/>
      <c r="H149" s="178"/>
      <c r="I149" s="177">
        <f>I89</f>
        <v>51.04</v>
      </c>
    </row>
    <row r="150" spans="1:9">
      <c r="A150" s="176" t="s">
        <v>64</v>
      </c>
      <c r="B150" s="284" t="s">
        <v>144</v>
      </c>
      <c r="C150" s="284"/>
      <c r="D150" s="284"/>
      <c r="E150" s="284"/>
      <c r="F150" s="284"/>
      <c r="G150" s="284"/>
      <c r="H150" s="178"/>
      <c r="I150" s="177">
        <f>I117</f>
        <v>76.849999999999994</v>
      </c>
    </row>
    <row r="151" spans="1:9">
      <c r="A151" s="176" t="s">
        <v>66</v>
      </c>
      <c r="B151" s="284" t="s">
        <v>161</v>
      </c>
      <c r="C151" s="284"/>
      <c r="D151" s="284"/>
      <c r="E151" s="284"/>
      <c r="F151" s="284"/>
      <c r="G151" s="284"/>
      <c r="H151" s="178"/>
      <c r="I151" s="177">
        <f>I129</f>
        <v>71.47</v>
      </c>
    </row>
    <row r="152" spans="1:9">
      <c r="A152" s="285" t="s">
        <v>162</v>
      </c>
      <c r="B152" s="285"/>
      <c r="C152" s="285"/>
      <c r="D152" s="285"/>
      <c r="E152" s="285"/>
      <c r="F152" s="285"/>
      <c r="G152" s="285"/>
      <c r="H152" s="179"/>
      <c r="I152" s="180">
        <f>SUM(I147:I151)</f>
        <v>3396.4</v>
      </c>
    </row>
    <row r="153" spans="1:9">
      <c r="A153" s="181" t="s">
        <v>84</v>
      </c>
      <c r="B153" s="286" t="s">
        <v>163</v>
      </c>
      <c r="C153" s="286"/>
      <c r="D153" s="286"/>
      <c r="E153" s="286"/>
      <c r="F153" s="286"/>
      <c r="G153" s="286"/>
      <c r="H153" s="48"/>
      <c r="I153" s="182">
        <f>I144</f>
        <v>702.7</v>
      </c>
    </row>
    <row r="154" spans="1:9" ht="17" thickBot="1">
      <c r="A154" s="285" t="s">
        <v>164</v>
      </c>
      <c r="B154" s="285"/>
      <c r="C154" s="285"/>
      <c r="D154" s="285"/>
      <c r="E154" s="285"/>
      <c r="F154" s="285"/>
      <c r="G154" s="285"/>
      <c r="H154" s="183"/>
      <c r="I154" s="184">
        <f>SUM(I152+I138+I139)/(1-H140)</f>
        <v>4099.1000000000004</v>
      </c>
    </row>
    <row r="155" spans="1:9">
      <c r="A155" s="172" t="s">
        <v>165</v>
      </c>
      <c r="B155" s="185"/>
      <c r="C155" s="185"/>
      <c r="D155" s="185"/>
      <c r="E155" s="185"/>
      <c r="F155" s="185"/>
      <c r="G155" s="185"/>
      <c r="H155" s="186" t="s">
        <v>166</v>
      </c>
      <c r="I155" s="185" t="s">
        <v>79</v>
      </c>
    </row>
    <row r="156" spans="1:9">
      <c r="A156" s="43" t="s">
        <v>198</v>
      </c>
      <c r="B156" s="283" t="s">
        <v>27</v>
      </c>
      <c r="C156" s="283"/>
      <c r="D156" s="283"/>
      <c r="E156" s="283"/>
      <c r="F156" s="283"/>
      <c r="G156" s="283"/>
      <c r="H156" s="187">
        <f>H11</f>
        <v>2</v>
      </c>
      <c r="I156" s="188">
        <f>H156*I154</f>
        <v>8198.2000000000007</v>
      </c>
    </row>
    <row r="157" spans="1:9">
      <c r="I157" s="35"/>
    </row>
    <row r="158" spans="1:9">
      <c r="I158" s="35"/>
    </row>
    <row r="159" spans="1:9">
      <c r="I159" s="35"/>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X6sELaeSo4E1gewb7xFiUTocr3+E5UyT5foviggma0VE1mX19DpqkE4WmxJB72EDYQlnBQcqE9aVGO7fw+LHHg==" saltValue="L7guexAZvJB61PO2Ob81gQ==" spinCount="100000" sheet="1" objects="1" scenarios="1"/>
  <mergeCells count="156">
    <mergeCell ref="B7:G7"/>
    <mergeCell ref="H7:I7"/>
    <mergeCell ref="B8:G8"/>
    <mergeCell ref="H8:I8"/>
    <mergeCell ref="B9:G9"/>
    <mergeCell ref="H9:I9"/>
    <mergeCell ref="A1:I1"/>
    <mergeCell ref="A6:I6"/>
    <mergeCell ref="A2:B2"/>
    <mergeCell ref="C2:D2"/>
    <mergeCell ref="E2:I2"/>
    <mergeCell ref="A3:B3"/>
    <mergeCell ref="C3:D3"/>
    <mergeCell ref="E3:I3"/>
    <mergeCell ref="A4:B4"/>
    <mergeCell ref="C4:D4"/>
    <mergeCell ref="E4:I4"/>
    <mergeCell ref="A5:B5"/>
    <mergeCell ref="C5:D5"/>
    <mergeCell ref="E5:I5"/>
    <mergeCell ref="B14:G14"/>
    <mergeCell ref="H14:I14"/>
    <mergeCell ref="B15:G15"/>
    <mergeCell ref="H15:I15"/>
    <mergeCell ref="B16:G16"/>
    <mergeCell ref="H16:I16"/>
    <mergeCell ref="B10:G10"/>
    <mergeCell ref="H10:I10"/>
    <mergeCell ref="B11:G11"/>
    <mergeCell ref="H11:I11"/>
    <mergeCell ref="B13:G13"/>
    <mergeCell ref="H13:I13"/>
    <mergeCell ref="B20:G20"/>
    <mergeCell ref="H20:I20"/>
    <mergeCell ref="B22:G22"/>
    <mergeCell ref="B23:G23"/>
    <mergeCell ref="B24:G24"/>
    <mergeCell ref="B25:G25"/>
    <mergeCell ref="B17:G17"/>
    <mergeCell ref="H17:I17"/>
    <mergeCell ref="B18:G18"/>
    <mergeCell ref="H18:I18"/>
    <mergeCell ref="B19:G19"/>
    <mergeCell ref="H19:I19"/>
    <mergeCell ref="B32:G32"/>
    <mergeCell ref="B33:G33"/>
    <mergeCell ref="C34:G34"/>
    <mergeCell ref="C35:G35"/>
    <mergeCell ref="C36:G36"/>
    <mergeCell ref="C37:G37"/>
    <mergeCell ref="B26:G26"/>
    <mergeCell ref="B27:G27"/>
    <mergeCell ref="B28:D28"/>
    <mergeCell ref="E28:G28"/>
    <mergeCell ref="A29:G29"/>
    <mergeCell ref="B31:G31"/>
    <mergeCell ref="B47:G47"/>
    <mergeCell ref="B48:G48"/>
    <mergeCell ref="B49:G49"/>
    <mergeCell ref="B50:G50"/>
    <mergeCell ref="B51:G51"/>
    <mergeCell ref="B52:G52"/>
    <mergeCell ref="C38:G38"/>
    <mergeCell ref="C39:G39"/>
    <mergeCell ref="A40:G40"/>
    <mergeCell ref="A41:G43"/>
    <mergeCell ref="B45:G45"/>
    <mergeCell ref="B46:G46"/>
    <mergeCell ref="B61:G61"/>
    <mergeCell ref="I61:I64"/>
    <mergeCell ref="B62:G62"/>
    <mergeCell ref="B63:G63"/>
    <mergeCell ref="B64:G64"/>
    <mergeCell ref="B65:G65"/>
    <mergeCell ref="B53:G53"/>
    <mergeCell ref="A54:G54"/>
    <mergeCell ref="B56:G56"/>
    <mergeCell ref="B57:G57"/>
    <mergeCell ref="I57:I60"/>
    <mergeCell ref="B58:G58"/>
    <mergeCell ref="B59:G59"/>
    <mergeCell ref="B60:G60"/>
    <mergeCell ref="B72:G72"/>
    <mergeCell ref="B73:G73"/>
    <mergeCell ref="A74:G74"/>
    <mergeCell ref="B76:G76"/>
    <mergeCell ref="B77:G77"/>
    <mergeCell ref="B78:G78"/>
    <mergeCell ref="B66:G66"/>
    <mergeCell ref="B67:G67"/>
    <mergeCell ref="B68:G68"/>
    <mergeCell ref="B69:G69"/>
    <mergeCell ref="B70:G70"/>
    <mergeCell ref="B71:G71"/>
    <mergeCell ref="B86:G86"/>
    <mergeCell ref="B87:G87"/>
    <mergeCell ref="B88:G88"/>
    <mergeCell ref="A89:G89"/>
    <mergeCell ref="A90:G93"/>
    <mergeCell ref="B96:G96"/>
    <mergeCell ref="B79:G79"/>
    <mergeCell ref="A80:G80"/>
    <mergeCell ref="B82:G82"/>
    <mergeCell ref="B83:G83"/>
    <mergeCell ref="B84:G84"/>
    <mergeCell ref="B85:G85"/>
    <mergeCell ref="B103:G103"/>
    <mergeCell ref="B104:G104"/>
    <mergeCell ref="B105:G105"/>
    <mergeCell ref="B106:G106"/>
    <mergeCell ref="B107:G107"/>
    <mergeCell ref="B108:G108"/>
    <mergeCell ref="B97:G97"/>
    <mergeCell ref="B98:G98"/>
    <mergeCell ref="B99:G99"/>
    <mergeCell ref="B100:G100"/>
    <mergeCell ref="B101:G101"/>
    <mergeCell ref="B102:G102"/>
    <mergeCell ref="B116:G116"/>
    <mergeCell ref="A117:G117"/>
    <mergeCell ref="B119:G119"/>
    <mergeCell ref="B120:G120"/>
    <mergeCell ref="B121:G121"/>
    <mergeCell ref="B122:G122"/>
    <mergeCell ref="A109:G109"/>
    <mergeCell ref="B110:G110"/>
    <mergeCell ref="B111:G111"/>
    <mergeCell ref="A112:G112"/>
    <mergeCell ref="B114:G114"/>
    <mergeCell ref="B115:G115"/>
    <mergeCell ref="A129:G129"/>
    <mergeCell ref="A130:G135"/>
    <mergeCell ref="B137:G137"/>
    <mergeCell ref="B138:G138"/>
    <mergeCell ref="B139:G139"/>
    <mergeCell ref="B140:G140"/>
    <mergeCell ref="B123:G123"/>
    <mergeCell ref="B124:G124"/>
    <mergeCell ref="B125:G125"/>
    <mergeCell ref="B126:G126"/>
    <mergeCell ref="B127:G127"/>
    <mergeCell ref="B128:G128"/>
    <mergeCell ref="A154:G154"/>
    <mergeCell ref="B156:G156"/>
    <mergeCell ref="B148:G148"/>
    <mergeCell ref="B149:G149"/>
    <mergeCell ref="B150:G150"/>
    <mergeCell ref="B151:G151"/>
    <mergeCell ref="A152:G152"/>
    <mergeCell ref="B153:G153"/>
    <mergeCell ref="B141:G141"/>
    <mergeCell ref="B142:G142"/>
    <mergeCell ref="B143:G143"/>
    <mergeCell ref="A144:G144"/>
    <mergeCell ref="A146:G146"/>
    <mergeCell ref="B147:G147"/>
  </mergeCells>
  <pageMargins left="0.511811024" right="0.511811024" top="0.78740157500000008" bottom="0.78740157500000008" header="0.31496062000000008" footer="0.31496062000000008"/>
  <pageSetup paperSize="9" scale="65" fitToWidth="0"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5A20E-7BB7-4B05-8655-1E44C2BA0182}">
  <dimension ref="A1:I20"/>
  <sheetViews>
    <sheetView workbookViewId="0">
      <selection activeCell="J21" sqref="J21"/>
    </sheetView>
  </sheetViews>
  <sheetFormatPr defaultColWidth="8.7265625" defaultRowHeight="16.5"/>
  <cols>
    <col min="1" max="1" width="7.54296875" style="228" bestFit="1" customWidth="1"/>
    <col min="2" max="2" width="5.7265625" style="228" bestFit="1" customWidth="1"/>
    <col min="3" max="3" width="42.54296875" style="228" bestFit="1" customWidth="1"/>
    <col min="4" max="4" width="15.7265625" style="228" bestFit="1" customWidth="1"/>
    <col min="5" max="5" width="15.54296875" style="228" bestFit="1" customWidth="1"/>
    <col min="6" max="6" width="13.54296875" style="228" bestFit="1" customWidth="1"/>
    <col min="7" max="7" width="17.81640625" style="228" customWidth="1"/>
    <col min="8" max="8" width="17.7265625" style="228" bestFit="1" customWidth="1"/>
    <col min="9" max="9" width="15.81640625" style="228" customWidth="1"/>
    <col min="10" max="10" width="15.81640625" style="228" bestFit="1" customWidth="1"/>
    <col min="11" max="11" width="17.7265625" style="228" customWidth="1"/>
    <col min="12" max="13" width="8.7265625" style="228" customWidth="1"/>
    <col min="14" max="14" width="15.81640625" style="228" bestFit="1" customWidth="1"/>
    <col min="15" max="15" width="8.7265625" style="228" customWidth="1"/>
    <col min="16" max="16384" width="8.7265625" style="228"/>
  </cols>
  <sheetData>
    <row r="1" spans="1:9">
      <c r="A1" s="396" t="s">
        <v>0</v>
      </c>
      <c r="B1" s="396"/>
      <c r="C1" s="396"/>
      <c r="D1" s="396"/>
      <c r="E1" s="396"/>
      <c r="F1" s="396"/>
      <c r="G1" s="396"/>
      <c r="H1" s="396"/>
      <c r="I1" s="396"/>
    </row>
    <row r="2" spans="1:9">
      <c r="A2" s="396"/>
      <c r="B2" s="396"/>
      <c r="C2" s="396"/>
      <c r="D2" s="396"/>
      <c r="E2" s="396"/>
      <c r="F2" s="396"/>
      <c r="G2" s="396"/>
      <c r="H2" s="396"/>
      <c r="I2" s="396"/>
    </row>
    <row r="3" spans="1:9">
      <c r="A3" s="396"/>
      <c r="B3" s="396"/>
      <c r="C3" s="396"/>
      <c r="D3" s="396"/>
      <c r="E3" s="396"/>
      <c r="F3" s="396"/>
      <c r="G3" s="396"/>
      <c r="H3" s="396"/>
      <c r="I3" s="396"/>
    </row>
    <row r="5" spans="1:9" ht="17" thickBot="1"/>
    <row r="6" spans="1:9" ht="63.75" customHeight="1">
      <c r="A6" s="229" t="s">
        <v>1</v>
      </c>
      <c r="B6" s="230" t="s">
        <v>2</v>
      </c>
      <c r="C6" s="231" t="s">
        <v>3</v>
      </c>
      <c r="D6" s="231" t="s">
        <v>4</v>
      </c>
      <c r="E6" s="231" t="s">
        <v>5</v>
      </c>
      <c r="F6" s="232" t="s">
        <v>6</v>
      </c>
      <c r="G6" s="231" t="s">
        <v>167</v>
      </c>
      <c r="H6" s="231" t="s">
        <v>7</v>
      </c>
      <c r="I6" s="233" t="s">
        <v>8</v>
      </c>
    </row>
    <row r="7" spans="1:9">
      <c r="A7" s="398">
        <v>1</v>
      </c>
      <c r="B7" s="234">
        <v>1</v>
      </c>
      <c r="C7" s="235" t="s">
        <v>173</v>
      </c>
      <c r="D7" s="236" t="str">
        <f>'RECEPÇÃO 4º ANO'!H8</f>
        <v>Curitiba/PR</v>
      </c>
      <c r="E7" s="236">
        <f>'RECEPÇÃO 4º ANO'!H11</f>
        <v>46</v>
      </c>
      <c r="F7" s="236">
        <v>1</v>
      </c>
      <c r="G7" s="237">
        <f>'RECEPÇÃO 4º ANO'!I154</f>
        <v>4621.92</v>
      </c>
      <c r="H7" s="237">
        <f>G7*E7</f>
        <v>212608.32</v>
      </c>
      <c r="I7" s="238">
        <f>H7*12</f>
        <v>2551299.84</v>
      </c>
    </row>
    <row r="8" spans="1:9">
      <c r="A8" s="398"/>
      <c r="B8" s="234">
        <v>2</v>
      </c>
      <c r="C8" s="235" t="s">
        <v>173</v>
      </c>
      <c r="D8" s="236" t="str">
        <f>'RECEPÇÃO 4º ANO'!J8</f>
        <v>Guarapuava/PR</v>
      </c>
      <c r="E8" s="236">
        <f>'RECEPÇÃO 4º ANO'!J11</f>
        <v>4</v>
      </c>
      <c r="F8" s="236">
        <v>1</v>
      </c>
      <c r="G8" s="237">
        <f>'RECEPÇÃO 4º ANO'!K154</f>
        <v>4579.28</v>
      </c>
      <c r="H8" s="237">
        <f t="shared" ref="H8:H13" si="0">G8*E8</f>
        <v>18317.12</v>
      </c>
      <c r="I8" s="238">
        <f t="shared" ref="I8:I13" si="1">H8*12</f>
        <v>219805.44</v>
      </c>
    </row>
    <row r="9" spans="1:9">
      <c r="A9" s="398"/>
      <c r="B9" s="234">
        <v>3</v>
      </c>
      <c r="C9" s="235" t="s">
        <v>173</v>
      </c>
      <c r="D9" s="236" t="str">
        <f>'RECEPÇÃO 4º ANO'!L8</f>
        <v>Londrina/PR</v>
      </c>
      <c r="E9" s="236">
        <f>'RECEPÇÃO 4º ANO'!L11</f>
        <v>14</v>
      </c>
      <c r="F9" s="236">
        <v>1</v>
      </c>
      <c r="G9" s="237">
        <f>'RECEPÇÃO 4º ANO'!M154</f>
        <v>4561.72</v>
      </c>
      <c r="H9" s="237">
        <f t="shared" si="0"/>
        <v>63864.08</v>
      </c>
      <c r="I9" s="238">
        <f t="shared" si="1"/>
        <v>766368.96</v>
      </c>
    </row>
    <row r="10" spans="1:9">
      <c r="A10" s="398"/>
      <c r="B10" s="234">
        <v>4</v>
      </c>
      <c r="C10" s="235" t="s">
        <v>173</v>
      </c>
      <c r="D10" s="236" t="str">
        <f>'RECEPÇÃO 4º ANO'!N8</f>
        <v>Maringá/PR</v>
      </c>
      <c r="E10" s="236">
        <f>'RECEPÇÃO 4º ANO'!N11</f>
        <v>12</v>
      </c>
      <c r="F10" s="236">
        <v>1</v>
      </c>
      <c r="G10" s="237">
        <f>'RECEPÇÃO 4º ANO'!O154</f>
        <v>4517.17</v>
      </c>
      <c r="H10" s="237">
        <f t="shared" si="0"/>
        <v>54206.04</v>
      </c>
      <c r="I10" s="238">
        <f t="shared" si="1"/>
        <v>650472.48</v>
      </c>
    </row>
    <row r="11" spans="1:9">
      <c r="A11" s="398"/>
      <c r="B11" s="234">
        <v>5</v>
      </c>
      <c r="C11" s="235" t="s">
        <v>173</v>
      </c>
      <c r="D11" s="236" t="str">
        <f>'RECEPÇÃO 4º ANO'!P8</f>
        <v>Paranaguá/PR</v>
      </c>
      <c r="E11" s="236">
        <f>'RECEPÇÃO 4º ANO'!P11</f>
        <v>6</v>
      </c>
      <c r="F11" s="236">
        <v>1</v>
      </c>
      <c r="G11" s="237">
        <f>'RECEPÇÃO 4º ANO'!Q154</f>
        <v>4538.22</v>
      </c>
      <c r="H11" s="237">
        <f t="shared" si="0"/>
        <v>27229.32</v>
      </c>
      <c r="I11" s="238">
        <f t="shared" si="1"/>
        <v>326751.84000000003</v>
      </c>
    </row>
    <row r="12" spans="1:9">
      <c r="A12" s="398"/>
      <c r="B12" s="234">
        <v>6</v>
      </c>
      <c r="C12" s="235" t="s">
        <v>173</v>
      </c>
      <c r="D12" s="236" t="str">
        <f>'RECEPÇÃO 4º ANO'!R8</f>
        <v>Ponta Grossa/PR</v>
      </c>
      <c r="E12" s="236">
        <f>'RECEPÇÃO 4º ANO'!R11</f>
        <v>4</v>
      </c>
      <c r="F12" s="236">
        <v>1</v>
      </c>
      <c r="G12" s="237">
        <f>'RECEPÇÃO 4º ANO'!S154</f>
        <v>4628.21</v>
      </c>
      <c r="H12" s="237">
        <f t="shared" si="0"/>
        <v>18512.84</v>
      </c>
      <c r="I12" s="238">
        <f t="shared" si="1"/>
        <v>222154.08</v>
      </c>
    </row>
    <row r="13" spans="1:9">
      <c r="A13" s="398"/>
      <c r="B13" s="234">
        <v>7</v>
      </c>
      <c r="C13" s="235" t="s">
        <v>174</v>
      </c>
      <c r="D13" s="236" t="str">
        <f>'TELEFONISTA 4º ANO'!H8</f>
        <v>Curitiba/PR</v>
      </c>
      <c r="E13" s="236">
        <f>'TELEFONISTA 4º ANO'!H11</f>
        <v>2</v>
      </c>
      <c r="F13" s="236">
        <v>1</v>
      </c>
      <c r="G13" s="237">
        <f>'TELEFONISTA 4º ANO'!I154</f>
        <v>4099.1000000000004</v>
      </c>
      <c r="H13" s="237">
        <f t="shared" si="0"/>
        <v>8198.2000000000007</v>
      </c>
      <c r="I13" s="238">
        <f t="shared" si="1"/>
        <v>98378.4</v>
      </c>
    </row>
    <row r="14" spans="1:9" ht="17" thickBot="1">
      <c r="A14" s="399" t="s">
        <v>178</v>
      </c>
      <c r="B14" s="400"/>
      <c r="C14" s="400"/>
      <c r="D14" s="400"/>
      <c r="E14" s="239">
        <f>SUM(E7:E13)</f>
        <v>88</v>
      </c>
      <c r="F14" s="239">
        <v>1</v>
      </c>
      <c r="G14" s="240"/>
      <c r="H14" s="241">
        <f>SUM(H7:H13)</f>
        <v>402935.92</v>
      </c>
      <c r="I14" s="242">
        <f>SUM(I7:I13)</f>
        <v>4835231.04</v>
      </c>
    </row>
    <row r="15" spans="1:9">
      <c r="C15" s="243"/>
      <c r="D15" s="243"/>
      <c r="E15" s="243"/>
      <c r="F15" s="243"/>
      <c r="G15" s="243"/>
    </row>
    <row r="16" spans="1:9">
      <c r="B16" s="397"/>
      <c r="C16" s="397"/>
      <c r="D16" s="397"/>
      <c r="E16" s="397"/>
      <c r="F16" s="397"/>
      <c r="G16" s="397"/>
      <c r="H16" s="397"/>
      <c r="I16" s="397"/>
    </row>
    <row r="17" spans="3:7">
      <c r="C17" s="397"/>
      <c r="D17" s="397"/>
      <c r="E17" s="397"/>
      <c r="F17" s="245"/>
      <c r="G17" s="245"/>
    </row>
    <row r="18" spans="3:7">
      <c r="E18" s="243"/>
      <c r="F18" s="243"/>
      <c r="G18" s="243"/>
    </row>
    <row r="19" spans="3:7">
      <c r="E19" s="243"/>
      <c r="F19" s="243"/>
      <c r="G19" s="243"/>
    </row>
    <row r="20" spans="3:7">
      <c r="E20" s="243"/>
      <c r="F20" s="243"/>
      <c r="G20" s="243"/>
    </row>
  </sheetData>
  <sheetProtection algorithmName="SHA-512" hashValue="1uxZNFFf7PkCPgbzjm5s9FialZbHB3JoXd/hG7oPu6RbBfu//41rtViCajJkKa4TviB4DNh75JLJjSwHT9Jn7A==" saltValue="sDyKRvFWhosnV8LDR3UZew==" spinCount="100000" sheet="1" objects="1" scenarios="1"/>
  <mergeCells count="5">
    <mergeCell ref="A1:I3"/>
    <mergeCell ref="A7:A13"/>
    <mergeCell ref="A14:D14"/>
    <mergeCell ref="B16:I16"/>
    <mergeCell ref="C17:E17"/>
  </mergeCells>
  <pageMargins left="0.511811023622047" right="0.511811023622047" top="0.78740157480315021" bottom="0.78740157480315021" header="0.31496062992126012" footer="0.31496062992126012"/>
  <pageSetup paperSize="9" scale="54" fitToWidth="0" fitToHeight="0" orientation="portrait"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A6AE9-9FC2-4A54-9AF0-6F07B114254C}">
  <dimension ref="A1:W273"/>
  <sheetViews>
    <sheetView topLeftCell="A54" zoomScale="90" zoomScaleNormal="90" workbookViewId="0">
      <selection activeCell="L64" sqref="L64"/>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9.1796875" style="35" bestFit="1" customWidth="1"/>
    <col min="8" max="8" width="15.81640625" style="35" bestFit="1" customWidth="1"/>
    <col min="9" max="9" width="13.54296875" style="189" bestFit="1" customWidth="1"/>
    <col min="10" max="10" width="11.7265625" style="35" customWidth="1"/>
    <col min="11" max="16384" width="11.7265625" style="35"/>
  </cols>
  <sheetData>
    <row r="1" spans="1:9" ht="52.5" customHeight="1">
      <c r="A1" s="401" t="s">
        <v>272</v>
      </c>
      <c r="B1" s="402"/>
      <c r="C1" s="402"/>
      <c r="D1" s="402"/>
      <c r="E1" s="402"/>
      <c r="F1" s="402"/>
      <c r="G1" s="402"/>
      <c r="H1" s="402"/>
      <c r="I1" s="402"/>
    </row>
    <row r="2" spans="1:9" ht="12.75" customHeight="1">
      <c r="A2" s="349" t="s">
        <v>54</v>
      </c>
      <c r="B2" s="349"/>
      <c r="C2" s="349"/>
      <c r="D2" s="349"/>
      <c r="E2" s="349"/>
      <c r="F2" s="349"/>
      <c r="G2" s="349"/>
      <c r="H2" s="349"/>
      <c r="I2" s="349"/>
    </row>
    <row r="3" spans="1:9" ht="12.75" customHeight="1">
      <c r="A3" s="349" t="s">
        <v>55</v>
      </c>
      <c r="B3" s="349"/>
      <c r="C3" s="349"/>
      <c r="D3" s="349"/>
      <c r="E3" s="349"/>
      <c r="F3" s="349"/>
      <c r="G3" s="349"/>
      <c r="H3" s="349"/>
      <c r="I3" s="349"/>
    </row>
    <row r="4" spans="1:9" ht="12.75" customHeight="1">
      <c r="A4" s="350" t="s">
        <v>56</v>
      </c>
      <c r="B4" s="350"/>
      <c r="C4" s="350"/>
      <c r="D4" s="350"/>
      <c r="E4" s="350"/>
      <c r="F4" s="350"/>
      <c r="G4" s="350"/>
      <c r="H4" s="350"/>
      <c r="I4" s="350"/>
    </row>
    <row r="5" spans="1:9" ht="12.75" customHeight="1">
      <c r="A5" s="351"/>
      <c r="B5" s="351"/>
      <c r="C5" s="351"/>
      <c r="D5" s="351"/>
      <c r="E5" s="351"/>
      <c r="F5" s="351"/>
      <c r="G5" s="351"/>
      <c r="H5" s="351"/>
      <c r="I5" s="351"/>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2º ANO'!$A$4</f>
        <v>44344</v>
      </c>
      <c r="I7" s="346"/>
    </row>
    <row r="8" spans="1:9" ht="12.75" customHeight="1">
      <c r="A8" s="36" t="s">
        <v>60</v>
      </c>
      <c r="B8" s="286" t="s">
        <v>61</v>
      </c>
      <c r="C8" s="286"/>
      <c r="D8" s="286"/>
      <c r="E8" s="286"/>
      <c r="F8" s="286"/>
      <c r="G8" s="286"/>
      <c r="H8" s="345" t="str">
        <f>'DADOS BÁSICOS 2º ANO'!A8</f>
        <v>Curitiba/PR</v>
      </c>
      <c r="I8" s="345"/>
    </row>
    <row r="9" spans="1:9" ht="12.75" customHeight="1">
      <c r="A9" s="36" t="s">
        <v>62</v>
      </c>
      <c r="B9" s="286" t="s">
        <v>63</v>
      </c>
      <c r="C9" s="286"/>
      <c r="D9" s="286"/>
      <c r="E9" s="286"/>
      <c r="F9" s="286"/>
      <c r="G9" s="286"/>
      <c r="H9" s="344" t="str">
        <f>'DADOS BÁSICOS 2º ANO'!D8</f>
        <v>PR000326/2021</v>
      </c>
      <c r="I9" s="344"/>
    </row>
    <row r="10" spans="1:9" ht="12.75" customHeight="1">
      <c r="A10" s="36" t="s">
        <v>64</v>
      </c>
      <c r="B10" s="286" t="s">
        <v>65</v>
      </c>
      <c r="C10" s="286"/>
      <c r="D10" s="286"/>
      <c r="E10" s="286"/>
      <c r="F10" s="286"/>
      <c r="G10" s="286"/>
      <c r="H10" s="344">
        <f>'DADOS BÁSICOS 2º ANO'!$E$17</f>
        <v>12</v>
      </c>
      <c r="I10" s="344"/>
    </row>
    <row r="11" spans="1:9" ht="12.75" customHeight="1">
      <c r="A11" s="36" t="s">
        <v>66</v>
      </c>
      <c r="B11" s="286" t="s">
        <v>67</v>
      </c>
      <c r="C11" s="286"/>
      <c r="D11" s="286"/>
      <c r="E11" s="286"/>
      <c r="F11" s="286"/>
      <c r="G11" s="286"/>
      <c r="H11" s="344">
        <f>'DADOS BÁSICOS 2º ANO'!B8</f>
        <v>46</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2º ANO'!$A$17</f>
        <v>4221-05</v>
      </c>
      <c r="I14" s="342"/>
    </row>
    <row r="15" spans="1:9" ht="15" customHeight="1">
      <c r="A15" s="36">
        <v>4</v>
      </c>
      <c r="B15" s="286" t="s">
        <v>73</v>
      </c>
      <c r="C15" s="286"/>
      <c r="D15" s="286"/>
      <c r="E15" s="286"/>
      <c r="F15" s="286"/>
      <c r="G15" s="286"/>
      <c r="H15" s="342" t="str">
        <f>'DADOS BÁSICOS 2º ANO'!$B$17</f>
        <v>Recepcionista</v>
      </c>
      <c r="I15" s="342"/>
    </row>
    <row r="16" spans="1:9" ht="12.75" customHeight="1">
      <c r="A16" s="41">
        <v>5</v>
      </c>
      <c r="B16" s="286" t="s">
        <v>74</v>
      </c>
      <c r="C16" s="286"/>
      <c r="D16" s="286"/>
      <c r="E16" s="286"/>
      <c r="F16" s="286"/>
      <c r="G16" s="286"/>
      <c r="H16" s="384">
        <f>'DADOS BÁSICOS 2º ANO'!E8</f>
        <v>44228</v>
      </c>
      <c r="I16" s="384"/>
    </row>
    <row r="17" spans="1:9" ht="12.75" customHeight="1">
      <c r="A17" s="36">
        <v>3</v>
      </c>
      <c r="B17" s="286" t="s">
        <v>72</v>
      </c>
      <c r="C17" s="286"/>
      <c r="D17" s="286"/>
      <c r="E17" s="286"/>
      <c r="F17" s="286"/>
      <c r="G17" s="286"/>
      <c r="H17" s="383">
        <f>'DADOS BÁSICOS 2º ANO'!H8</f>
        <v>1516.66</v>
      </c>
      <c r="I17" s="383"/>
    </row>
    <row r="18" spans="1:9" ht="12.75" customHeight="1">
      <c r="A18" s="43">
        <v>6</v>
      </c>
      <c r="B18" s="284" t="s">
        <v>233</v>
      </c>
      <c r="C18" s="284"/>
      <c r="D18" s="284"/>
      <c r="E18" s="284"/>
      <c r="F18" s="284"/>
      <c r="G18" s="284"/>
      <c r="H18" s="382">
        <f>'DADOS BÁSICOS 2º ANO'!G8</f>
        <v>220</v>
      </c>
      <c r="I18" s="382"/>
    </row>
    <row r="19" spans="1:9" ht="12.75" customHeight="1">
      <c r="A19" s="43">
        <v>6</v>
      </c>
      <c r="B19" s="303" t="s">
        <v>234</v>
      </c>
      <c r="C19" s="303"/>
      <c r="D19" s="303"/>
      <c r="E19" s="303"/>
      <c r="F19" s="303"/>
      <c r="G19" s="284"/>
      <c r="H19" s="336">
        <f>'DADOS BÁSICOS 2º ANO'!$C$17</f>
        <v>200</v>
      </c>
      <c r="I19" s="337"/>
    </row>
    <row r="20" spans="1:9" ht="12.75" customHeight="1">
      <c r="A20" s="43">
        <v>7</v>
      </c>
      <c r="B20" s="284" t="s">
        <v>75</v>
      </c>
      <c r="C20" s="284"/>
      <c r="D20" s="284"/>
      <c r="E20" s="284"/>
      <c r="F20" s="284"/>
      <c r="G20" s="284"/>
      <c r="H20" s="336">
        <f>'DADOS BÁSICOS 2º ANO'!$F$17</f>
        <v>22</v>
      </c>
      <c r="I20" s="337"/>
    </row>
    <row r="21" spans="1:9">
      <c r="A21" s="44" t="s">
        <v>76</v>
      </c>
      <c r="B21" s="38"/>
      <c r="C21" s="38"/>
      <c r="D21" s="38"/>
      <c r="E21" s="38"/>
      <c r="F21" s="38"/>
      <c r="G21" s="38"/>
      <c r="H21" s="39"/>
      <c r="I21" s="40"/>
    </row>
    <row r="22" spans="1:9" ht="12.75" customHeight="1">
      <c r="A22" s="45">
        <v>1</v>
      </c>
      <c r="B22" s="288" t="s">
        <v>77</v>
      </c>
      <c r="C22" s="288"/>
      <c r="D22" s="288"/>
      <c r="E22" s="288"/>
      <c r="F22" s="288"/>
      <c r="G22" s="288"/>
      <c r="H22" s="46" t="s">
        <v>78</v>
      </c>
      <c r="I22" s="47" t="s">
        <v>79</v>
      </c>
    </row>
    <row r="23" spans="1:9" ht="12.75" customHeight="1">
      <c r="A23" s="36" t="s">
        <v>58</v>
      </c>
      <c r="B23" s="286" t="s">
        <v>235</v>
      </c>
      <c r="C23" s="286"/>
      <c r="D23" s="286"/>
      <c r="E23" s="286"/>
      <c r="F23" s="286"/>
      <c r="G23" s="286"/>
      <c r="H23" s="48"/>
      <c r="I23" s="57">
        <f>H17/'DADOS BÁSICOS 2º ANO'!G8*'MEMÓRIA DE CÁLCULO REF 5º ANO'!H19</f>
        <v>1378.78</v>
      </c>
    </row>
    <row r="24" spans="1:9" ht="12.75" customHeight="1">
      <c r="A24" s="36" t="s">
        <v>60</v>
      </c>
      <c r="B24" s="335" t="s">
        <v>80</v>
      </c>
      <c r="C24" s="335"/>
      <c r="D24" s="335"/>
      <c r="E24" s="335"/>
      <c r="F24" s="335"/>
      <c r="G24" s="335"/>
      <c r="H24" s="50">
        <v>0.3</v>
      </c>
      <c r="I24" s="71">
        <f>I23*H24</f>
        <v>413.63</v>
      </c>
    </row>
    <row r="25" spans="1:9" s="55" customFormat="1" ht="12.75" customHeight="1">
      <c r="A25" s="52" t="s">
        <v>62</v>
      </c>
      <c r="B25" s="335" t="s">
        <v>81</v>
      </c>
      <c r="C25" s="335"/>
      <c r="D25" s="335"/>
      <c r="E25" s="335"/>
      <c r="F25" s="335"/>
      <c r="G25" s="335"/>
      <c r="H25" s="53"/>
      <c r="I25" s="54"/>
    </row>
    <row r="26" spans="1:9" s="55" customFormat="1" ht="12.75" customHeight="1">
      <c r="A26" s="52" t="s">
        <v>64</v>
      </c>
      <c r="B26" s="286" t="s">
        <v>82</v>
      </c>
      <c r="C26" s="286"/>
      <c r="D26" s="286"/>
      <c r="E26" s="286"/>
      <c r="F26" s="286"/>
      <c r="G26" s="286"/>
      <c r="H26" s="56"/>
      <c r="I26" s="57"/>
    </row>
    <row r="27" spans="1:9" s="55" customFormat="1" ht="12.75" customHeight="1">
      <c r="A27" s="52" t="s">
        <v>66</v>
      </c>
      <c r="B27" s="286" t="s">
        <v>83</v>
      </c>
      <c r="C27" s="286"/>
      <c r="D27" s="286"/>
      <c r="E27" s="326"/>
      <c r="F27" s="326"/>
      <c r="G27" s="326"/>
      <c r="H27" s="58"/>
      <c r="I27" s="57"/>
    </row>
    <row r="28" spans="1:9" s="55" customFormat="1" ht="12.75" customHeight="1">
      <c r="A28" s="59" t="s">
        <v>84</v>
      </c>
      <c r="B28" s="327" t="s">
        <v>171</v>
      </c>
      <c r="C28" s="328"/>
      <c r="D28" s="328"/>
      <c r="E28" s="329" t="s">
        <v>172</v>
      </c>
      <c r="F28" s="330"/>
      <c r="G28" s="331"/>
      <c r="H28" s="60">
        <f>'DADOS BÁSICOS 2º ANO'!$C$22</f>
        <v>1.05</v>
      </c>
      <c r="I28" s="57">
        <f>(((I23+I24)/H19)*(1.5))*H28</f>
        <v>14.12</v>
      </c>
    </row>
    <row r="29" spans="1:9" s="55" customFormat="1" ht="12.75" customHeight="1">
      <c r="A29" s="332" t="s">
        <v>85</v>
      </c>
      <c r="B29" s="332"/>
      <c r="C29" s="332"/>
      <c r="D29" s="332"/>
      <c r="E29" s="333"/>
      <c r="F29" s="333"/>
      <c r="G29" s="333"/>
      <c r="H29" s="61"/>
      <c r="I29" s="62">
        <f>SUM(I23:I28)</f>
        <v>1806.53</v>
      </c>
    </row>
    <row r="30" spans="1:9">
      <c r="A30" s="37" t="s">
        <v>86</v>
      </c>
      <c r="B30" s="63"/>
      <c r="C30" s="63"/>
      <c r="D30" s="63"/>
      <c r="E30" s="63"/>
      <c r="F30" s="63"/>
      <c r="G30" s="63"/>
      <c r="H30" s="64"/>
      <c r="I30" s="65"/>
    </row>
    <row r="31" spans="1:9" ht="18" customHeight="1">
      <c r="A31" s="66" t="s">
        <v>87</v>
      </c>
      <c r="B31" s="334" t="s">
        <v>88</v>
      </c>
      <c r="C31" s="334"/>
      <c r="D31" s="334"/>
      <c r="E31" s="334"/>
      <c r="F31" s="334"/>
      <c r="G31" s="334"/>
      <c r="H31" s="67" t="s">
        <v>89</v>
      </c>
      <c r="I31" s="68" t="s">
        <v>79</v>
      </c>
    </row>
    <row r="32" spans="1:9">
      <c r="A32" s="69" t="s">
        <v>58</v>
      </c>
      <c r="B32" s="286" t="s">
        <v>90</v>
      </c>
      <c r="C32" s="286"/>
      <c r="D32" s="286"/>
      <c r="E32" s="286"/>
      <c r="F32" s="286"/>
      <c r="G32" s="286"/>
      <c r="H32" s="70">
        <f>1/12</f>
        <v>8.3299999999999999E-2</v>
      </c>
      <c r="I32" s="71">
        <f>I$29*H$32</f>
        <v>150.47999999999999</v>
      </c>
    </row>
    <row r="33" spans="1:22">
      <c r="A33" s="69" t="s">
        <v>60</v>
      </c>
      <c r="B33" s="286" t="s">
        <v>91</v>
      </c>
      <c r="C33" s="286"/>
      <c r="D33" s="286"/>
      <c r="E33" s="286"/>
      <c r="F33" s="286"/>
      <c r="G33" s="286"/>
      <c r="H33" s="70">
        <f>SUM(H34:H39)</f>
        <v>0.1288</v>
      </c>
      <c r="I33" s="71">
        <f>SUM(I34:I39)</f>
        <v>232.68</v>
      </c>
    </row>
    <row r="34" spans="1:22">
      <c r="A34" s="69"/>
      <c r="B34" s="69" t="s">
        <v>183</v>
      </c>
      <c r="C34" s="302" t="s">
        <v>188</v>
      </c>
      <c r="D34" s="303"/>
      <c r="E34" s="303"/>
      <c r="F34" s="303"/>
      <c r="G34" s="284"/>
      <c r="H34" s="70">
        <f>(1/3)/12</f>
        <v>2.7799999999999998E-2</v>
      </c>
      <c r="I34" s="71">
        <f t="shared" ref="I34:I39" si="0">I$29*H34</f>
        <v>50.22</v>
      </c>
    </row>
    <row r="35" spans="1:22" ht="16.5" customHeight="1">
      <c r="A35" s="72"/>
      <c r="B35" s="72" t="s">
        <v>184</v>
      </c>
      <c r="C35" s="320" t="s">
        <v>205</v>
      </c>
      <c r="D35" s="321"/>
      <c r="E35" s="321"/>
      <c r="F35" s="321"/>
      <c r="G35" s="322"/>
      <c r="H35" s="73">
        <f>1/12</f>
        <v>8.3299999999999999E-2</v>
      </c>
      <c r="I35" s="246">
        <f t="shared" si="0"/>
        <v>150.47999999999999</v>
      </c>
    </row>
    <row r="36" spans="1:22" ht="16.5" customHeight="1">
      <c r="A36" s="72"/>
      <c r="B36" s="72" t="s">
        <v>266</v>
      </c>
      <c r="C36" s="320" t="s">
        <v>267</v>
      </c>
      <c r="D36" s="321"/>
      <c r="E36" s="321"/>
      <c r="F36" s="321"/>
      <c r="G36" s="322"/>
      <c r="H36" s="73">
        <v>0</v>
      </c>
      <c r="I36" s="74">
        <f t="shared" si="0"/>
        <v>0</v>
      </c>
      <c r="J36" s="164"/>
    </row>
    <row r="37" spans="1:22" ht="16.5" customHeight="1">
      <c r="A37" s="76"/>
      <c r="B37" s="76" t="s">
        <v>185</v>
      </c>
      <c r="C37" s="323" t="s">
        <v>206</v>
      </c>
      <c r="D37" s="324"/>
      <c r="E37" s="324"/>
      <c r="F37" s="324"/>
      <c r="G37" s="325"/>
      <c r="H37" s="77">
        <f>((H11/11)/12)/H11</f>
        <v>7.6E-3</v>
      </c>
      <c r="I37" s="226">
        <f t="shared" si="0"/>
        <v>13.73</v>
      </c>
    </row>
    <row r="38" spans="1:22" ht="16.5" customHeight="1">
      <c r="A38" s="76"/>
      <c r="B38" s="76" t="s">
        <v>186</v>
      </c>
      <c r="C38" s="323" t="s">
        <v>207</v>
      </c>
      <c r="D38" s="324"/>
      <c r="E38" s="324"/>
      <c r="F38" s="324"/>
      <c r="G38" s="325"/>
      <c r="H38" s="77">
        <f>H37/3</f>
        <v>2.5000000000000001E-3</v>
      </c>
      <c r="I38" s="226">
        <f t="shared" si="0"/>
        <v>4.5199999999999996</v>
      </c>
    </row>
    <row r="39" spans="1:22">
      <c r="A39" s="76"/>
      <c r="B39" s="76" t="s">
        <v>187</v>
      </c>
      <c r="C39" s="323" t="s">
        <v>208</v>
      </c>
      <c r="D39" s="324"/>
      <c r="E39" s="324"/>
      <c r="F39" s="324"/>
      <c r="G39" s="325"/>
      <c r="H39" s="77">
        <f>((H11/11)/12)/H11</f>
        <v>7.6E-3</v>
      </c>
      <c r="I39" s="226">
        <f t="shared" si="0"/>
        <v>13.73</v>
      </c>
    </row>
    <row r="40" spans="1:22">
      <c r="A40" s="287" t="s">
        <v>85</v>
      </c>
      <c r="B40" s="287"/>
      <c r="C40" s="287"/>
      <c r="D40" s="287"/>
      <c r="E40" s="287"/>
      <c r="F40" s="287"/>
      <c r="G40" s="287"/>
      <c r="H40" s="79">
        <f>SUM(H32:H33)</f>
        <v>0.21210000000000001</v>
      </c>
      <c r="I40" s="80">
        <f>SUM(I32:I33)</f>
        <v>383.16</v>
      </c>
    </row>
    <row r="41" spans="1:22">
      <c r="A41" s="304" t="s">
        <v>92</v>
      </c>
      <c r="B41" s="304"/>
      <c r="C41" s="304"/>
      <c r="D41" s="304"/>
      <c r="E41" s="304"/>
      <c r="F41" s="304"/>
      <c r="G41" s="304"/>
      <c r="H41" s="81" t="s">
        <v>93</v>
      </c>
      <c r="I41" s="82">
        <f>I29</f>
        <v>1806.53</v>
      </c>
      <c r="V41" s="271"/>
    </row>
    <row r="42" spans="1:22">
      <c r="A42" s="304"/>
      <c r="B42" s="304"/>
      <c r="C42" s="304"/>
      <c r="D42" s="304"/>
      <c r="E42" s="304"/>
      <c r="F42" s="304"/>
      <c r="G42" s="304"/>
      <c r="H42" s="81" t="s">
        <v>99</v>
      </c>
      <c r="I42" s="82">
        <f>I40</f>
        <v>383.16</v>
      </c>
    </row>
    <row r="43" spans="1:22" ht="33" customHeight="1">
      <c r="A43" s="304"/>
      <c r="B43" s="304"/>
      <c r="C43" s="304"/>
      <c r="D43" s="304"/>
      <c r="E43" s="304"/>
      <c r="F43" s="304"/>
      <c r="G43" s="304"/>
      <c r="H43" s="81" t="s">
        <v>85</v>
      </c>
      <c r="I43" s="82">
        <f>SUM(I41:I42)</f>
        <v>2189.69</v>
      </c>
    </row>
    <row r="44" spans="1:22" ht="19.5" customHeight="1">
      <c r="A44" s="37" t="s">
        <v>105</v>
      </c>
      <c r="B44" s="63"/>
      <c r="C44" s="63"/>
      <c r="D44" s="63"/>
      <c r="E44" s="63"/>
      <c r="F44" s="63"/>
      <c r="G44" s="63"/>
      <c r="H44" s="64"/>
      <c r="I44" s="65"/>
    </row>
    <row r="45" spans="1:22" ht="12.75" customHeight="1">
      <c r="A45" s="83" t="s">
        <v>106</v>
      </c>
      <c r="B45" s="288" t="s">
        <v>107</v>
      </c>
      <c r="C45" s="288"/>
      <c r="D45" s="288"/>
      <c r="E45" s="288"/>
      <c r="F45" s="288"/>
      <c r="G45" s="288"/>
      <c r="H45" s="67" t="s">
        <v>89</v>
      </c>
      <c r="I45" s="84" t="s">
        <v>79</v>
      </c>
      <c r="O45" s="164"/>
    </row>
    <row r="46" spans="1:22" ht="12.75" customHeight="1">
      <c r="A46" s="85" t="s">
        <v>58</v>
      </c>
      <c r="B46" s="286" t="s">
        <v>32</v>
      </c>
      <c r="C46" s="286"/>
      <c r="D46" s="286"/>
      <c r="E46" s="286"/>
      <c r="F46" s="286"/>
      <c r="G46" s="286"/>
      <c r="H46" s="50">
        <f>IF('DADOS BÁSICOS 2º ANO'!$B$25="LUCRO PRESUMIDO",'DADOS BÁSICOS 2º ANO'!$B$29,'DADOS BÁSICOS 2º ANO'!$C$29)</f>
        <v>0.2</v>
      </c>
      <c r="I46" s="71">
        <f>I43*H46</f>
        <v>437.94</v>
      </c>
      <c r="O46" s="164"/>
    </row>
    <row r="47" spans="1:22" ht="17.25" customHeight="1">
      <c r="A47" s="85" t="s">
        <v>60</v>
      </c>
      <c r="B47" s="286" t="s">
        <v>108</v>
      </c>
      <c r="C47" s="286"/>
      <c r="D47" s="286"/>
      <c r="E47" s="286"/>
      <c r="F47" s="286"/>
      <c r="G47" s="286"/>
      <c r="H47" s="50">
        <f>IF('DADOS BÁSICOS 2º ANO'!$B$25="LUCRO PRESUMIDO",'DADOS BÁSICOS 2º ANO'!$B$30,'DADOS BÁSICOS 2º ANO'!$C$30)</f>
        <v>2.5000000000000001E-2</v>
      </c>
      <c r="I47" s="71">
        <f>I43*H47</f>
        <v>54.74</v>
      </c>
    </row>
    <row r="48" spans="1:22" ht="12.75" customHeight="1">
      <c r="A48" s="85" t="s">
        <v>62</v>
      </c>
      <c r="B48" s="286" t="s">
        <v>109</v>
      </c>
      <c r="C48" s="286"/>
      <c r="D48" s="286"/>
      <c r="E48" s="286"/>
      <c r="F48" s="286"/>
      <c r="G48" s="286"/>
      <c r="H48" s="50">
        <f>IF('DADOS BÁSICOS 2º ANO'!$B$25="LUCRO PRESUMIDO",'DADOS BÁSICOS 2º ANO'!$B$31,'DADOS BÁSICOS 2º ANO'!$C$31)</f>
        <v>0.03</v>
      </c>
      <c r="I48" s="71">
        <f>I43*H48</f>
        <v>65.69</v>
      </c>
    </row>
    <row r="49" spans="1:10" ht="12.75" customHeight="1">
      <c r="A49" s="85" t="s">
        <v>64</v>
      </c>
      <c r="B49" s="286" t="s">
        <v>35</v>
      </c>
      <c r="C49" s="286"/>
      <c r="D49" s="286"/>
      <c r="E49" s="286"/>
      <c r="F49" s="286"/>
      <c r="G49" s="286"/>
      <c r="H49" s="50">
        <f>IF('DADOS BÁSICOS 2º ANO'!$B$25="LUCRO PRESUMIDO",'DADOS BÁSICOS 2º ANO'!$B$32,'DADOS BÁSICOS 2º ANO'!$C$32)</f>
        <v>1.4999999999999999E-2</v>
      </c>
      <c r="I49" s="71">
        <f>I43*H49</f>
        <v>32.85</v>
      </c>
    </row>
    <row r="50" spans="1:10" ht="12.75" customHeight="1">
      <c r="A50" s="85" t="s">
        <v>66</v>
      </c>
      <c r="B50" s="286" t="s">
        <v>36</v>
      </c>
      <c r="C50" s="286"/>
      <c r="D50" s="286"/>
      <c r="E50" s="286"/>
      <c r="F50" s="286"/>
      <c r="G50" s="286"/>
      <c r="H50" s="50">
        <f>IF('DADOS BÁSICOS 2º ANO'!$B$25="LUCRO PRESUMIDO",'DADOS BÁSICOS 2º ANO'!$B$33,'DADOS BÁSICOS 2º ANO'!$C$33)</f>
        <v>0.01</v>
      </c>
      <c r="I50" s="71">
        <f>I43*H50</f>
        <v>21.9</v>
      </c>
    </row>
    <row r="51" spans="1:10" ht="12.75" customHeight="1">
      <c r="A51" s="85" t="s">
        <v>84</v>
      </c>
      <c r="B51" s="286" t="s">
        <v>37</v>
      </c>
      <c r="C51" s="286"/>
      <c r="D51" s="286"/>
      <c r="E51" s="286"/>
      <c r="F51" s="286"/>
      <c r="G51" s="286"/>
      <c r="H51" s="50">
        <f>IF('DADOS BÁSICOS 2º ANO'!$B$25="LUCRO PRESUMIDO",'DADOS BÁSICOS 2º ANO'!$B$34,'DADOS BÁSICOS 2º ANO'!$C$34)</f>
        <v>6.0000000000000001E-3</v>
      </c>
      <c r="I51" s="71">
        <f>I43*H51</f>
        <v>13.14</v>
      </c>
    </row>
    <row r="52" spans="1:10" ht="12.75" customHeight="1">
      <c r="A52" s="85" t="s">
        <v>110</v>
      </c>
      <c r="B52" s="286" t="s">
        <v>38</v>
      </c>
      <c r="C52" s="286"/>
      <c r="D52" s="286"/>
      <c r="E52" s="286"/>
      <c r="F52" s="286"/>
      <c r="G52" s="286"/>
      <c r="H52" s="50">
        <f>IF('DADOS BÁSICOS 2º ANO'!$B$25="LUCRO PRESUMIDO",'DADOS BÁSICOS 2º ANO'!$B$35,'DADOS BÁSICOS 2º ANO'!$C$35)</f>
        <v>2E-3</v>
      </c>
      <c r="I52" s="71">
        <f>I43*H52</f>
        <v>4.38</v>
      </c>
    </row>
    <row r="53" spans="1:10" ht="18.75" customHeight="1">
      <c r="A53" s="86" t="s">
        <v>111</v>
      </c>
      <c r="B53" s="286" t="s">
        <v>39</v>
      </c>
      <c r="C53" s="286"/>
      <c r="D53" s="286"/>
      <c r="E53" s="286"/>
      <c r="F53" s="286"/>
      <c r="G53" s="286"/>
      <c r="H53" s="50">
        <f>IF('DADOS BÁSICOS 2º ANO'!$B$25="LUCRO PRESUMIDO",'DADOS BÁSICOS 2º ANO'!$B$36,'DADOS BÁSICOS 2º ANO'!$C$36)</f>
        <v>0.08</v>
      </c>
      <c r="I53" s="71">
        <f>I43*H53</f>
        <v>175.18</v>
      </c>
    </row>
    <row r="54" spans="1:10" ht="33" customHeight="1">
      <c r="A54" s="287" t="s">
        <v>85</v>
      </c>
      <c r="B54" s="287"/>
      <c r="C54" s="287"/>
      <c r="D54" s="287"/>
      <c r="E54" s="287"/>
      <c r="F54" s="287"/>
      <c r="G54" s="287"/>
      <c r="H54" s="87">
        <f>SUM(H46:H53)</f>
        <v>0.36799999999999999</v>
      </c>
      <c r="I54" s="80">
        <f t="shared" ref="I54" si="1">SUM(I46:I53)</f>
        <v>805.82</v>
      </c>
    </row>
    <row r="55" spans="1:10" ht="17.25" customHeight="1">
      <c r="A55" s="88" t="s">
        <v>112</v>
      </c>
      <c r="B55" s="88"/>
      <c r="C55" s="88"/>
      <c r="D55" s="88"/>
      <c r="E55" s="88"/>
      <c r="F55" s="88"/>
      <c r="G55" s="88"/>
      <c r="H55" s="89"/>
      <c r="I55" s="90"/>
    </row>
    <row r="56" spans="1:10">
      <c r="A56" s="83" t="s">
        <v>113</v>
      </c>
      <c r="B56" s="316" t="s">
        <v>114</v>
      </c>
      <c r="C56" s="316"/>
      <c r="D56" s="316"/>
      <c r="E56" s="316"/>
      <c r="F56" s="316"/>
      <c r="G56" s="316"/>
      <c r="H56" s="39"/>
      <c r="I56" s="91" t="s">
        <v>79</v>
      </c>
    </row>
    <row r="57" spans="1:10" ht="24.75" customHeight="1">
      <c r="A57" s="69" t="s">
        <v>58</v>
      </c>
      <c r="B57" s="294" t="s">
        <v>115</v>
      </c>
      <c r="C57" s="294"/>
      <c r="D57" s="294"/>
      <c r="E57" s="294"/>
      <c r="F57" s="294"/>
      <c r="G57" s="294"/>
      <c r="H57" s="92"/>
      <c r="I57" s="317">
        <f>IF((H58*H59)-(I23*H60)&gt;0,((H58*H59)-(I23*H60)),0)</f>
        <v>115.27</v>
      </c>
    </row>
    <row r="58" spans="1:10" ht="12.75" customHeight="1">
      <c r="A58" s="69"/>
      <c r="B58" s="286" t="s">
        <v>116</v>
      </c>
      <c r="C58" s="286"/>
      <c r="D58" s="286"/>
      <c r="E58" s="286"/>
      <c r="F58" s="286"/>
      <c r="G58" s="286"/>
      <c r="H58" s="93">
        <f>'DADOS BÁSICOS 2º ANO'!P8</f>
        <v>4.5</v>
      </c>
      <c r="I58" s="318"/>
    </row>
    <row r="59" spans="1:10" ht="12.75" customHeight="1">
      <c r="A59" s="94"/>
      <c r="B59" s="286" t="s">
        <v>117</v>
      </c>
      <c r="C59" s="286"/>
      <c r="D59" s="286"/>
      <c r="E59" s="286"/>
      <c r="F59" s="286"/>
      <c r="G59" s="286"/>
      <c r="H59" s="95">
        <f>'DADOS BÁSICOS 2º ANO'!$O8</f>
        <v>44</v>
      </c>
      <c r="I59" s="318"/>
    </row>
    <row r="60" spans="1:10" ht="15" customHeight="1">
      <c r="A60" s="69"/>
      <c r="B60" s="286" t="s">
        <v>118</v>
      </c>
      <c r="C60" s="286"/>
      <c r="D60" s="286"/>
      <c r="E60" s="286"/>
      <c r="F60" s="286"/>
      <c r="G60" s="286"/>
      <c r="H60" s="96">
        <v>0.06</v>
      </c>
      <c r="I60" s="319"/>
    </row>
    <row r="61" spans="1:10" ht="15" customHeight="1">
      <c r="A61" s="69" t="s">
        <v>60</v>
      </c>
      <c r="B61" s="286" t="s">
        <v>119</v>
      </c>
      <c r="C61" s="286"/>
      <c r="D61" s="286"/>
      <c r="E61" s="286"/>
      <c r="F61" s="286"/>
      <c r="G61" s="286"/>
      <c r="H61" s="97"/>
      <c r="I61" s="313">
        <f>H62-(H62*H64)</f>
        <v>360</v>
      </c>
      <c r="J61" s="99"/>
    </row>
    <row r="62" spans="1:10" ht="15" customHeight="1">
      <c r="A62" s="69"/>
      <c r="B62" s="286" t="s">
        <v>256</v>
      </c>
      <c r="C62" s="286"/>
      <c r="D62" s="286"/>
      <c r="E62" s="286"/>
      <c r="F62" s="286"/>
      <c r="G62" s="286"/>
      <c r="H62" s="98">
        <f>'DADOS BÁSICOS 2º ANO'!I8</f>
        <v>450</v>
      </c>
      <c r="I62" s="314"/>
      <c r="J62" s="99"/>
    </row>
    <row r="63" spans="1:10" ht="15" customHeight="1">
      <c r="A63" s="69"/>
      <c r="B63" s="286" t="s">
        <v>258</v>
      </c>
      <c r="C63" s="286"/>
      <c r="D63" s="286"/>
      <c r="E63" s="286"/>
      <c r="F63" s="286"/>
      <c r="G63" s="286"/>
      <c r="H63" s="100"/>
      <c r="I63" s="314"/>
    </row>
    <row r="64" spans="1:10" ht="17.25" customHeight="1">
      <c r="A64" s="69"/>
      <c r="B64" s="286" t="s">
        <v>257</v>
      </c>
      <c r="C64" s="286"/>
      <c r="D64" s="286"/>
      <c r="E64" s="286"/>
      <c r="F64" s="286"/>
      <c r="G64" s="286"/>
      <c r="H64" s="101">
        <f>'DADOS BÁSICOS 2º ANO'!$N8</f>
        <v>0.2</v>
      </c>
      <c r="I64" s="315"/>
    </row>
    <row r="65" spans="1:23" ht="16" customHeight="1">
      <c r="A65" s="69" t="s">
        <v>62</v>
      </c>
      <c r="B65" s="286" t="str">
        <f>'DADOS BÁSICOS 2º ANO'!$J$7</f>
        <v>Auxílio Saúde</v>
      </c>
      <c r="C65" s="286"/>
      <c r="D65" s="286"/>
      <c r="E65" s="286"/>
      <c r="F65" s="286"/>
      <c r="G65" s="286"/>
      <c r="H65" s="102"/>
      <c r="I65" s="57">
        <f>'DADOS BÁSICOS 2º ANO'!$J$8</f>
        <v>64</v>
      </c>
    </row>
    <row r="66" spans="1:23" ht="15" customHeight="1">
      <c r="A66" s="69" t="s">
        <v>64</v>
      </c>
      <c r="B66" s="286" t="str">
        <f>'DADOS BÁSICOS 2º ANO'!$K$7</f>
        <v>Benefício Familiar</v>
      </c>
      <c r="C66" s="286"/>
      <c r="D66" s="286"/>
      <c r="E66" s="286"/>
      <c r="F66" s="286"/>
      <c r="G66" s="286"/>
      <c r="H66" s="103"/>
      <c r="I66" s="104">
        <f>'DADOS BÁSICOS 2º ANO'!$K$8</f>
        <v>21</v>
      </c>
    </row>
    <row r="67" spans="1:23" ht="18" customHeight="1">
      <c r="A67" s="69" t="s">
        <v>66</v>
      </c>
      <c r="B67" s="286" t="str">
        <f>'DADOS BÁSICOS 2º ANO'!$L$7</f>
        <v>Fundo de Fomação Profissional</v>
      </c>
      <c r="C67" s="286"/>
      <c r="D67" s="286"/>
      <c r="E67" s="286"/>
      <c r="F67" s="286"/>
      <c r="G67" s="286"/>
      <c r="H67" s="102"/>
      <c r="I67" s="104">
        <f>'DADOS BÁSICOS 2º ANO'!$L$8</f>
        <v>21</v>
      </c>
    </row>
    <row r="68" spans="1:23" ht="18" customHeight="1">
      <c r="A68" s="72" t="s">
        <v>84</v>
      </c>
      <c r="B68" s="408" t="s">
        <v>271</v>
      </c>
      <c r="C68" s="408"/>
      <c r="D68" s="408"/>
      <c r="E68" s="408"/>
      <c r="F68" s="408"/>
      <c r="G68" s="408"/>
      <c r="H68" s="105">
        <f>1/12</f>
        <v>8.3299999999999999E-2</v>
      </c>
      <c r="I68" s="107">
        <f>I61*H68</f>
        <v>29.99</v>
      </c>
    </row>
    <row r="69" spans="1:23" ht="18" customHeight="1">
      <c r="A69" s="72" t="s">
        <v>268</v>
      </c>
      <c r="B69" s="312" t="s">
        <v>269</v>
      </c>
      <c r="C69" s="312"/>
      <c r="D69" s="312"/>
      <c r="E69" s="312"/>
      <c r="F69" s="312"/>
      <c r="G69" s="312"/>
      <c r="H69" s="105">
        <v>0</v>
      </c>
      <c r="I69" s="107">
        <f>I61*H69</f>
        <v>0</v>
      </c>
    </row>
    <row r="70" spans="1:23" ht="18" customHeight="1">
      <c r="A70" s="108" t="s">
        <v>110</v>
      </c>
      <c r="B70" s="297" t="s">
        <v>201</v>
      </c>
      <c r="C70" s="297"/>
      <c r="D70" s="297"/>
      <c r="E70" s="297"/>
      <c r="F70" s="297"/>
      <c r="G70" s="297"/>
      <c r="H70" s="109">
        <f>((H11/11)/12)/H11</f>
        <v>7.6E-3</v>
      </c>
      <c r="I70" s="225">
        <f>I61*H70</f>
        <v>2.74</v>
      </c>
    </row>
    <row r="71" spans="1:23" ht="18" customHeight="1">
      <c r="A71" s="76" t="s">
        <v>111</v>
      </c>
      <c r="B71" s="310" t="s">
        <v>202</v>
      </c>
      <c r="C71" s="310"/>
      <c r="D71" s="310"/>
      <c r="E71" s="310"/>
      <c r="F71" s="310"/>
      <c r="G71" s="310"/>
      <c r="H71" s="111">
        <f>(H$11/11)/H$11</f>
        <v>9.0899999999999995E-2</v>
      </c>
      <c r="I71" s="226">
        <f>I65*H71</f>
        <v>5.82</v>
      </c>
    </row>
    <row r="72" spans="1:23" ht="18" customHeight="1">
      <c r="A72" s="76" t="s">
        <v>198</v>
      </c>
      <c r="B72" s="310" t="s">
        <v>203</v>
      </c>
      <c r="C72" s="310"/>
      <c r="D72" s="310"/>
      <c r="E72" s="310"/>
      <c r="F72" s="310"/>
      <c r="G72" s="310"/>
      <c r="H72" s="111">
        <f t="shared" ref="H72:H73" si="2">(H$11/11)/H$11</f>
        <v>9.0899999999999995E-2</v>
      </c>
      <c r="I72" s="226">
        <f>I66*H72</f>
        <v>1.91</v>
      </c>
    </row>
    <row r="73" spans="1:23" ht="19.5" customHeight="1">
      <c r="A73" s="76" t="s">
        <v>199</v>
      </c>
      <c r="B73" s="310" t="s">
        <v>204</v>
      </c>
      <c r="C73" s="310"/>
      <c r="D73" s="310"/>
      <c r="E73" s="310"/>
      <c r="F73" s="310"/>
      <c r="G73" s="310"/>
      <c r="H73" s="111">
        <f t="shared" si="2"/>
        <v>9.0899999999999995E-2</v>
      </c>
      <c r="I73" s="226">
        <f>I67*H73</f>
        <v>1.91</v>
      </c>
    </row>
    <row r="74" spans="1:23" ht="30.75" customHeight="1">
      <c r="A74" s="287" t="s">
        <v>85</v>
      </c>
      <c r="B74" s="287"/>
      <c r="C74" s="287"/>
      <c r="D74" s="287"/>
      <c r="E74" s="287"/>
      <c r="F74" s="287"/>
      <c r="G74" s="287"/>
      <c r="H74" s="113"/>
      <c r="I74" s="80">
        <f>SUM(I57:I73)</f>
        <v>623.64</v>
      </c>
    </row>
    <row r="75" spans="1:23" ht="20.25" customHeight="1">
      <c r="A75" s="37" t="s">
        <v>120</v>
      </c>
      <c r="B75" s="63"/>
      <c r="C75" s="63"/>
      <c r="D75" s="63"/>
      <c r="E75" s="63"/>
      <c r="F75" s="63"/>
      <c r="G75" s="63"/>
      <c r="H75" s="64"/>
      <c r="I75" s="65"/>
    </row>
    <row r="76" spans="1:23" ht="12.75" customHeight="1">
      <c r="A76" s="114">
        <v>2</v>
      </c>
      <c r="B76" s="311" t="s">
        <v>121</v>
      </c>
      <c r="C76" s="311"/>
      <c r="D76" s="311"/>
      <c r="E76" s="311"/>
      <c r="F76" s="311"/>
      <c r="G76" s="311"/>
      <c r="H76" s="115"/>
      <c r="I76" s="116" t="s">
        <v>79</v>
      </c>
    </row>
    <row r="77" spans="1:23" ht="12.75" customHeight="1">
      <c r="A77" s="69" t="s">
        <v>87</v>
      </c>
      <c r="B77" s="286" t="s">
        <v>88</v>
      </c>
      <c r="C77" s="286"/>
      <c r="D77" s="286"/>
      <c r="E77" s="286"/>
      <c r="F77" s="286"/>
      <c r="G77" s="286"/>
      <c r="H77" s="48"/>
      <c r="I77" s="71">
        <f>I40</f>
        <v>383.16</v>
      </c>
    </row>
    <row r="78" spans="1:23" ht="12.75" customHeight="1">
      <c r="A78" s="69" t="s">
        <v>106</v>
      </c>
      <c r="B78" s="286" t="s">
        <v>107</v>
      </c>
      <c r="C78" s="286"/>
      <c r="D78" s="286"/>
      <c r="E78" s="286"/>
      <c r="F78" s="286"/>
      <c r="G78" s="286"/>
      <c r="H78" s="48"/>
      <c r="I78" s="71">
        <f>I54</f>
        <v>805.82</v>
      </c>
    </row>
    <row r="79" spans="1:23">
      <c r="A79" s="69" t="s">
        <v>113</v>
      </c>
      <c r="B79" s="286" t="s">
        <v>114</v>
      </c>
      <c r="C79" s="286"/>
      <c r="D79" s="286"/>
      <c r="E79" s="286"/>
      <c r="F79" s="286"/>
      <c r="G79" s="286"/>
      <c r="H79" s="48"/>
      <c r="I79" s="71">
        <f>I74</f>
        <v>623.64</v>
      </c>
      <c r="W79" s="271"/>
    </row>
    <row r="80" spans="1:23" ht="26.25" customHeight="1">
      <c r="A80" s="304" t="s">
        <v>85</v>
      </c>
      <c r="B80" s="304"/>
      <c r="C80" s="304"/>
      <c r="D80" s="304"/>
      <c r="E80" s="304"/>
      <c r="F80" s="304"/>
      <c r="G80" s="304"/>
      <c r="H80" s="117"/>
      <c r="I80" s="82">
        <f>SUM(I77:I79)</f>
        <v>1812.62</v>
      </c>
    </row>
    <row r="81" spans="1:9" ht="26.25" customHeight="1">
      <c r="A81" s="37" t="s">
        <v>122</v>
      </c>
      <c r="B81" s="118"/>
      <c r="C81" s="118"/>
      <c r="D81" s="118"/>
      <c r="E81" s="118"/>
      <c r="F81" s="118"/>
      <c r="G81" s="118"/>
      <c r="H81" s="64"/>
      <c r="I81" s="65"/>
    </row>
    <row r="82" spans="1:9" ht="16.5" customHeight="1">
      <c r="A82" s="119">
        <v>3</v>
      </c>
      <c r="B82" s="305" t="s">
        <v>123</v>
      </c>
      <c r="C82" s="305"/>
      <c r="D82" s="305"/>
      <c r="E82" s="305"/>
      <c r="F82" s="305"/>
      <c r="G82" s="305"/>
      <c r="H82" s="120" t="s">
        <v>89</v>
      </c>
      <c r="I82" s="47" t="s">
        <v>79</v>
      </c>
    </row>
    <row r="83" spans="1:9">
      <c r="A83" s="121" t="s">
        <v>58</v>
      </c>
      <c r="B83" s="306" t="s">
        <v>124</v>
      </c>
      <c r="C83" s="307"/>
      <c r="D83" s="307"/>
      <c r="E83" s="307"/>
      <c r="F83" s="307"/>
      <c r="G83" s="308"/>
      <c r="H83" s="122">
        <f>((100%/12)*'DADOS BÁSICOS 2º ANO'!$Q8)/10</f>
        <v>2.8E-3</v>
      </c>
      <c r="I83" s="123">
        <f>H83*I$43</f>
        <v>6.13</v>
      </c>
    </row>
    <row r="84" spans="1:9" ht="12.75" customHeight="1">
      <c r="A84" s="69" t="s">
        <v>60</v>
      </c>
      <c r="B84" s="294" t="s">
        <v>125</v>
      </c>
      <c r="C84" s="294"/>
      <c r="D84" s="294"/>
      <c r="E84" s="294"/>
      <c r="F84" s="294"/>
      <c r="G84" s="294"/>
      <c r="H84" s="124">
        <v>0.08</v>
      </c>
      <c r="I84" s="125">
        <f>I83*H84</f>
        <v>0.49</v>
      </c>
    </row>
    <row r="85" spans="1:9" ht="17.25" customHeight="1">
      <c r="A85" s="126" t="s">
        <v>62</v>
      </c>
      <c r="B85" s="302" t="s">
        <v>126</v>
      </c>
      <c r="C85" s="303"/>
      <c r="D85" s="303"/>
      <c r="E85" s="303"/>
      <c r="F85" s="303"/>
      <c r="G85" s="284"/>
      <c r="H85" s="127">
        <f>8%*40%*'DADOS BÁSICOS 2º ANO'!$Q8</f>
        <v>1.0800000000000001E-2</v>
      </c>
      <c r="I85" s="125">
        <f>I$43*H85</f>
        <v>23.65</v>
      </c>
    </row>
    <row r="86" spans="1:9">
      <c r="A86" s="128" t="s">
        <v>64</v>
      </c>
      <c r="B86" s="309" t="s">
        <v>127</v>
      </c>
      <c r="C86" s="309"/>
      <c r="D86" s="309"/>
      <c r="E86" s="309"/>
      <c r="F86" s="309"/>
      <c r="G86" s="309"/>
      <c r="H86" s="247">
        <f>((7/30)/12)/10</f>
        <v>1.944E-3</v>
      </c>
      <c r="I86" s="248">
        <f>H86*I$43</f>
        <v>4.26</v>
      </c>
    </row>
    <row r="87" spans="1:9" ht="12.75" customHeight="1">
      <c r="A87" s="69" t="s">
        <v>66</v>
      </c>
      <c r="B87" s="294" t="s">
        <v>128</v>
      </c>
      <c r="C87" s="294"/>
      <c r="D87" s="294"/>
      <c r="E87" s="294"/>
      <c r="F87" s="294"/>
      <c r="G87" s="294"/>
      <c r="H87" s="124">
        <f>H54</f>
        <v>0.36799999999999999</v>
      </c>
      <c r="I87" s="131">
        <f>H87*I86</f>
        <v>1.57</v>
      </c>
    </row>
    <row r="88" spans="1:9">
      <c r="A88" s="126" t="s">
        <v>84</v>
      </c>
      <c r="B88" s="302" t="s">
        <v>129</v>
      </c>
      <c r="C88" s="303"/>
      <c r="D88" s="303"/>
      <c r="E88" s="303"/>
      <c r="F88" s="303"/>
      <c r="G88" s="284"/>
      <c r="H88" s="127">
        <f>8%*40%*'DADOS BÁSICOS 2º ANO'!$R8</f>
        <v>1.0800000000000001E-2</v>
      </c>
      <c r="I88" s="125">
        <f>I43*H88</f>
        <v>23.65</v>
      </c>
    </row>
    <row r="89" spans="1:9">
      <c r="A89" s="287" t="s">
        <v>85</v>
      </c>
      <c r="B89" s="287"/>
      <c r="C89" s="287"/>
      <c r="D89" s="287"/>
      <c r="E89" s="287"/>
      <c r="F89" s="287"/>
      <c r="G89" s="287"/>
      <c r="H89" s="113"/>
      <c r="I89" s="80">
        <f>SUM(I83:I88)</f>
        <v>59.75</v>
      </c>
    </row>
    <row r="90" spans="1:9">
      <c r="A90" s="304" t="s">
        <v>130</v>
      </c>
      <c r="B90" s="304"/>
      <c r="C90" s="304"/>
      <c r="D90" s="304"/>
      <c r="E90" s="304"/>
      <c r="F90" s="304"/>
      <c r="G90" s="304"/>
      <c r="H90" s="132" t="s">
        <v>93</v>
      </c>
      <c r="I90" s="133">
        <f>I29</f>
        <v>1806.53</v>
      </c>
    </row>
    <row r="91" spans="1:9">
      <c r="A91" s="304"/>
      <c r="B91" s="304"/>
      <c r="C91" s="304"/>
      <c r="D91" s="304"/>
      <c r="E91" s="304"/>
      <c r="F91" s="304"/>
      <c r="G91" s="304"/>
      <c r="H91" s="132" t="s">
        <v>94</v>
      </c>
      <c r="I91" s="133">
        <f>I80</f>
        <v>1812.62</v>
      </c>
    </row>
    <row r="92" spans="1:9">
      <c r="A92" s="304"/>
      <c r="B92" s="304"/>
      <c r="C92" s="304"/>
      <c r="D92" s="304"/>
      <c r="E92" s="304"/>
      <c r="F92" s="304"/>
      <c r="G92" s="304"/>
      <c r="H92" s="132" t="s">
        <v>95</v>
      </c>
      <c r="I92" s="133">
        <f>I89</f>
        <v>59.75</v>
      </c>
    </row>
    <row r="93" spans="1:9" ht="26.25" customHeight="1">
      <c r="A93" s="304"/>
      <c r="B93" s="304"/>
      <c r="C93" s="304"/>
      <c r="D93" s="304"/>
      <c r="E93" s="304"/>
      <c r="F93" s="304"/>
      <c r="G93" s="304"/>
      <c r="H93" s="132" t="s">
        <v>85</v>
      </c>
      <c r="I93" s="133">
        <f>SUM(I90:I92)</f>
        <v>3678.9</v>
      </c>
    </row>
    <row r="94" spans="1:9" s="137" customFormat="1" ht="63.75" customHeight="1">
      <c r="A94" s="37" t="s">
        <v>131</v>
      </c>
      <c r="B94" s="134"/>
      <c r="C94" s="134"/>
      <c r="D94" s="134"/>
      <c r="E94" s="134"/>
      <c r="F94" s="134"/>
      <c r="G94" s="134"/>
      <c r="H94" s="135"/>
      <c r="I94" s="136"/>
    </row>
    <row r="95" spans="1:9" ht="16.5" customHeight="1">
      <c r="A95" s="138" t="s">
        <v>132</v>
      </c>
      <c r="B95" s="63" t="s">
        <v>133</v>
      </c>
      <c r="C95" s="63"/>
      <c r="D95" s="63"/>
      <c r="E95" s="63"/>
      <c r="F95" s="63"/>
      <c r="G95" s="63"/>
      <c r="H95" s="67" t="s">
        <v>134</v>
      </c>
      <c r="I95" s="68" t="s">
        <v>79</v>
      </c>
    </row>
    <row r="96" spans="1:9" ht="16.5" customHeight="1">
      <c r="A96" s="69" t="s">
        <v>58</v>
      </c>
      <c r="B96" s="301" t="s">
        <v>135</v>
      </c>
      <c r="C96" s="301"/>
      <c r="D96" s="301"/>
      <c r="E96" s="301"/>
      <c r="F96" s="301"/>
      <c r="G96" s="301"/>
      <c r="H96" s="139">
        <f>'DADOS BÁSICOS 2º ANO'!$H$59</f>
        <v>4.8734000000000002</v>
      </c>
      <c r="I96" s="71">
        <f>SUM(I97:I104)</f>
        <v>49.81</v>
      </c>
    </row>
    <row r="97" spans="1:9" ht="16.5" customHeight="1">
      <c r="A97" s="140" t="s">
        <v>219</v>
      </c>
      <c r="B97" s="300" t="s">
        <v>211</v>
      </c>
      <c r="C97" s="300"/>
      <c r="D97" s="300"/>
      <c r="E97" s="300"/>
      <c r="F97" s="300"/>
      <c r="G97" s="300"/>
      <c r="H97" s="139">
        <f>'DADOS BÁSICOS 2º ANO'!$H$60</f>
        <v>1</v>
      </c>
      <c r="I97" s="141">
        <f>((I$93/30)*H97)/H$10</f>
        <v>10.220000000000001</v>
      </c>
    </row>
    <row r="98" spans="1:9" ht="16.5" customHeight="1">
      <c r="A98" s="140" t="s">
        <v>221</v>
      </c>
      <c r="B98" s="300" t="s">
        <v>212</v>
      </c>
      <c r="C98" s="300"/>
      <c r="D98" s="300"/>
      <c r="E98" s="300"/>
      <c r="F98" s="300"/>
      <c r="G98" s="300"/>
      <c r="H98" s="139">
        <f>'DADOS BÁSICOS 2º ANO'!$H$61</f>
        <v>3.4929999999999999</v>
      </c>
      <c r="I98" s="141">
        <f>((I$93/30)*H98)/H$10</f>
        <v>35.700000000000003</v>
      </c>
    </row>
    <row r="99" spans="1:9" ht="16.5" customHeight="1">
      <c r="A99" s="140" t="s">
        <v>222</v>
      </c>
      <c r="B99" s="300" t="s">
        <v>213</v>
      </c>
      <c r="C99" s="300"/>
      <c r="D99" s="300"/>
      <c r="E99" s="300"/>
      <c r="F99" s="300"/>
      <c r="G99" s="300"/>
      <c r="H99" s="139">
        <f>'DADOS BÁSICOS 2º ANO'!$H$62</f>
        <v>0.26879999999999998</v>
      </c>
      <c r="I99" s="141">
        <f t="shared" ref="I99:I108" si="3">(I$93/30)*(H99/H$10)</f>
        <v>2.75</v>
      </c>
    </row>
    <row r="100" spans="1:9" ht="16.5" customHeight="1">
      <c r="A100" s="140" t="s">
        <v>228</v>
      </c>
      <c r="B100" s="300" t="s">
        <v>214</v>
      </c>
      <c r="C100" s="300"/>
      <c r="D100" s="300"/>
      <c r="E100" s="300"/>
      <c r="F100" s="300"/>
      <c r="G100" s="300"/>
      <c r="H100" s="139">
        <f>'DADOS BÁSICOS 2º ANO'!$H$63</f>
        <v>4.2599999999999999E-2</v>
      </c>
      <c r="I100" s="141">
        <f t="shared" si="3"/>
        <v>0.44</v>
      </c>
    </row>
    <row r="101" spans="1:9" ht="16.5" customHeight="1">
      <c r="A101" s="140" t="s">
        <v>229</v>
      </c>
      <c r="B101" s="300" t="s">
        <v>215</v>
      </c>
      <c r="C101" s="300"/>
      <c r="D101" s="300"/>
      <c r="E101" s="300"/>
      <c r="F101" s="300"/>
      <c r="G101" s="300"/>
      <c r="H101" s="139">
        <f>'DADOS BÁSICOS 2º ANO'!$H$64</f>
        <v>3.5400000000000001E-2</v>
      </c>
      <c r="I101" s="141">
        <f t="shared" si="3"/>
        <v>0.36</v>
      </c>
    </row>
    <row r="102" spans="1:9" ht="16.5" customHeight="1">
      <c r="A102" s="140" t="s">
        <v>230</v>
      </c>
      <c r="B102" s="300" t="s">
        <v>216</v>
      </c>
      <c r="C102" s="300"/>
      <c r="D102" s="300"/>
      <c r="E102" s="300"/>
      <c r="F102" s="300"/>
      <c r="G102" s="300"/>
      <c r="H102" s="139">
        <f>'DADOS BÁSICOS 2º ANO'!$H$65</f>
        <v>0.02</v>
      </c>
      <c r="I102" s="141">
        <f t="shared" si="3"/>
        <v>0.2</v>
      </c>
    </row>
    <row r="103" spans="1:9" ht="16.5" customHeight="1">
      <c r="A103" s="140" t="s">
        <v>231</v>
      </c>
      <c r="B103" s="300" t="s">
        <v>217</v>
      </c>
      <c r="C103" s="300"/>
      <c r="D103" s="300"/>
      <c r="E103" s="300"/>
      <c r="F103" s="300"/>
      <c r="G103" s="300"/>
      <c r="H103" s="139">
        <f>'DADOS BÁSICOS 2º ANO'!$H$66</f>
        <v>4.0000000000000001E-3</v>
      </c>
      <c r="I103" s="141">
        <f t="shared" si="3"/>
        <v>0.04</v>
      </c>
    </row>
    <row r="104" spans="1:9" ht="16.5" customHeight="1">
      <c r="A104" s="140" t="s">
        <v>232</v>
      </c>
      <c r="B104" s="300" t="s">
        <v>218</v>
      </c>
      <c r="C104" s="300"/>
      <c r="D104" s="300"/>
      <c r="E104" s="300"/>
      <c r="F104" s="300"/>
      <c r="G104" s="300"/>
      <c r="H104" s="139">
        <f>'DADOS BÁSICOS 2º ANO'!$H$67</f>
        <v>9.5999999999999992E-3</v>
      </c>
      <c r="I104" s="141">
        <f t="shared" si="3"/>
        <v>0.1</v>
      </c>
    </row>
    <row r="105" spans="1:9" ht="16.5" customHeight="1">
      <c r="A105" s="69" t="s">
        <v>60</v>
      </c>
      <c r="B105" s="301" t="s">
        <v>136</v>
      </c>
      <c r="C105" s="301"/>
      <c r="D105" s="301"/>
      <c r="E105" s="301"/>
      <c r="F105" s="301"/>
      <c r="G105" s="301"/>
      <c r="H105" s="139">
        <f>'DADOS BÁSICOS 2º ANO'!$H$68</f>
        <v>0.19980000000000001</v>
      </c>
      <c r="I105" s="71">
        <f t="shared" si="3"/>
        <v>2.04</v>
      </c>
    </row>
    <row r="106" spans="1:9" ht="16.5" customHeight="1">
      <c r="A106" s="69" t="s">
        <v>62</v>
      </c>
      <c r="B106" s="301" t="s">
        <v>137</v>
      </c>
      <c r="C106" s="301"/>
      <c r="D106" s="301"/>
      <c r="E106" s="301"/>
      <c r="F106" s="301"/>
      <c r="G106" s="301"/>
      <c r="H106" s="139">
        <f>'DADOS BÁSICOS 2º ANO'!$H$69</f>
        <v>0.96619999999999995</v>
      </c>
      <c r="I106" s="71">
        <f t="shared" si="3"/>
        <v>9.8699999999999992</v>
      </c>
    </row>
    <row r="107" spans="1:9" ht="16.5" customHeight="1">
      <c r="A107" s="69" t="s">
        <v>64</v>
      </c>
      <c r="B107" s="301" t="s">
        <v>138</v>
      </c>
      <c r="C107" s="301"/>
      <c r="D107" s="301"/>
      <c r="E107" s="301"/>
      <c r="F107" s="301"/>
      <c r="G107" s="301"/>
      <c r="H107" s="139">
        <f>'DADOS BÁSICOS 2º ANO'!$H$70</f>
        <v>2.4771999999999998</v>
      </c>
      <c r="I107" s="71">
        <f t="shared" si="3"/>
        <v>25.31</v>
      </c>
    </row>
    <row r="108" spans="1:9">
      <c r="A108" s="41" t="s">
        <v>66</v>
      </c>
      <c r="B108" s="301" t="s">
        <v>139</v>
      </c>
      <c r="C108" s="301"/>
      <c r="D108" s="301"/>
      <c r="E108" s="301"/>
      <c r="F108" s="301"/>
      <c r="G108" s="301"/>
      <c r="H108" s="139">
        <f>'DADOS BÁSICOS 2º ANO'!$H$71</f>
        <v>0</v>
      </c>
      <c r="I108" s="71">
        <f t="shared" si="3"/>
        <v>0</v>
      </c>
    </row>
    <row r="109" spans="1:9">
      <c r="A109" s="287" t="s">
        <v>85</v>
      </c>
      <c r="B109" s="287"/>
      <c r="C109" s="287"/>
      <c r="D109" s="287"/>
      <c r="E109" s="287"/>
      <c r="F109" s="287"/>
      <c r="G109" s="287"/>
      <c r="H109" s="142">
        <f>H96+H105+H106+H107+H108</f>
        <v>8.5166000000000004</v>
      </c>
      <c r="I109" s="80">
        <f>I96+I105+I106+I107+I108</f>
        <v>87.03</v>
      </c>
    </row>
    <row r="110" spans="1:9" ht="16.5" customHeight="1">
      <c r="A110" s="143" t="s">
        <v>140</v>
      </c>
      <c r="B110" s="290" t="s">
        <v>141</v>
      </c>
      <c r="C110" s="290"/>
      <c r="D110" s="290"/>
      <c r="E110" s="290"/>
      <c r="F110" s="290"/>
      <c r="G110" s="290"/>
      <c r="H110" s="144"/>
      <c r="I110" s="145" t="s">
        <v>79</v>
      </c>
    </row>
    <row r="111" spans="1:9">
      <c r="A111" s="69" t="s">
        <v>58</v>
      </c>
      <c r="B111" s="286" t="s">
        <v>142</v>
      </c>
      <c r="C111" s="286"/>
      <c r="D111" s="286"/>
      <c r="E111" s="286"/>
      <c r="F111" s="286"/>
      <c r="G111" s="286"/>
      <c r="H111" s="48"/>
      <c r="I111" s="146">
        <v>0</v>
      </c>
    </row>
    <row r="112" spans="1:9" ht="21.75" customHeight="1">
      <c r="A112" s="287" t="s">
        <v>85</v>
      </c>
      <c r="B112" s="287"/>
      <c r="C112" s="287"/>
      <c r="D112" s="287"/>
      <c r="E112" s="287"/>
      <c r="F112" s="287"/>
      <c r="G112" s="287"/>
      <c r="H112" s="113"/>
      <c r="I112" s="147">
        <f>SUM(I111:I111)</f>
        <v>0</v>
      </c>
    </row>
    <row r="113" spans="1:10" ht="12.75" customHeight="1">
      <c r="A113" s="37" t="s">
        <v>143</v>
      </c>
      <c r="B113" s="63"/>
      <c r="C113" s="63"/>
      <c r="D113" s="63"/>
      <c r="E113" s="63"/>
      <c r="F113" s="63"/>
      <c r="G113" s="63"/>
      <c r="H113" s="64"/>
      <c r="I113" s="65"/>
    </row>
    <row r="114" spans="1:10" ht="12.75" customHeight="1">
      <c r="A114" s="66">
        <v>4</v>
      </c>
      <c r="B114" s="288" t="s">
        <v>144</v>
      </c>
      <c r="C114" s="288"/>
      <c r="D114" s="288"/>
      <c r="E114" s="288"/>
      <c r="F114" s="288"/>
      <c r="G114" s="288"/>
      <c r="H114" s="148"/>
      <c r="I114" s="68" t="s">
        <v>79</v>
      </c>
    </row>
    <row r="115" spans="1:10" ht="12.75" customHeight="1">
      <c r="A115" s="85" t="s">
        <v>132</v>
      </c>
      <c r="B115" s="284" t="s">
        <v>133</v>
      </c>
      <c r="C115" s="284"/>
      <c r="D115" s="284"/>
      <c r="E115" s="284"/>
      <c r="F115" s="284"/>
      <c r="G115" s="284"/>
      <c r="H115" s="149"/>
      <c r="I115" s="71">
        <f>I109</f>
        <v>87.03</v>
      </c>
    </row>
    <row r="116" spans="1:10">
      <c r="A116" s="85" t="s">
        <v>140</v>
      </c>
      <c r="B116" s="299" t="s">
        <v>145</v>
      </c>
      <c r="C116" s="299"/>
      <c r="D116" s="299"/>
      <c r="E116" s="299"/>
      <c r="F116" s="299"/>
      <c r="G116" s="299"/>
      <c r="H116" s="150"/>
      <c r="I116" s="71">
        <f>I112</f>
        <v>0</v>
      </c>
    </row>
    <row r="117" spans="1:10" ht="18.75" customHeight="1">
      <c r="A117" s="298" t="s">
        <v>85</v>
      </c>
      <c r="B117" s="298"/>
      <c r="C117" s="298"/>
      <c r="D117" s="298"/>
      <c r="E117" s="298"/>
      <c r="F117" s="298"/>
      <c r="G117" s="298"/>
      <c r="H117" s="151"/>
      <c r="I117" s="80">
        <f>SUM(I115:I116)</f>
        <v>87.03</v>
      </c>
    </row>
    <row r="118" spans="1:10" ht="12.75" customHeight="1">
      <c r="A118" s="37" t="s">
        <v>146</v>
      </c>
      <c r="B118" s="38"/>
      <c r="C118" s="38"/>
      <c r="D118" s="38"/>
      <c r="E118" s="38"/>
      <c r="F118" s="38"/>
      <c r="G118" s="38"/>
      <c r="H118" s="39"/>
      <c r="I118" s="40"/>
    </row>
    <row r="119" spans="1:10" ht="15" customHeight="1">
      <c r="A119" s="66">
        <v>5</v>
      </c>
      <c r="B119" s="288" t="s">
        <v>147</v>
      </c>
      <c r="C119" s="288"/>
      <c r="D119" s="288"/>
      <c r="E119" s="288"/>
      <c r="F119" s="288"/>
      <c r="G119" s="288"/>
      <c r="H119" s="148"/>
      <c r="I119" s="68" t="s">
        <v>79</v>
      </c>
      <c r="J119" s="153"/>
    </row>
    <row r="120" spans="1:10" ht="15" customHeight="1">
      <c r="A120" s="154" t="s">
        <v>58</v>
      </c>
      <c r="B120" s="295" t="s">
        <v>40</v>
      </c>
      <c r="C120" s="295"/>
      <c r="D120" s="295"/>
      <c r="E120" s="295"/>
      <c r="F120" s="295"/>
      <c r="G120" s="295"/>
      <c r="H120" s="149"/>
      <c r="I120" s="71">
        <f>SUM(I121:I123)</f>
        <v>41.03</v>
      </c>
      <c r="J120" s="153"/>
    </row>
    <row r="121" spans="1:10" ht="15" customHeight="1">
      <c r="A121" s="155" t="s">
        <v>219</v>
      </c>
      <c r="B121" s="286" t="s">
        <v>220</v>
      </c>
      <c r="C121" s="286"/>
      <c r="D121" s="286"/>
      <c r="E121" s="286"/>
      <c r="F121" s="286"/>
      <c r="G121" s="286"/>
      <c r="H121" s="149"/>
      <c r="I121" s="71">
        <f>'DADOS BÁSICOS 2º ANO'!$D$46</f>
        <v>35.61</v>
      </c>
      <c r="J121" s="153"/>
    </row>
    <row r="122" spans="1:10" ht="15" customHeight="1">
      <c r="A122" s="158" t="s">
        <v>221</v>
      </c>
      <c r="B122" s="296" t="s">
        <v>223</v>
      </c>
      <c r="C122" s="296"/>
      <c r="D122" s="296"/>
      <c r="E122" s="296"/>
      <c r="F122" s="296"/>
      <c r="G122" s="296"/>
      <c r="H122" s="159">
        <f>(ROUNDUP(((H109*H11)/(365*0.6986)),0))/H11</f>
        <v>4.3499999999999997E-2</v>
      </c>
      <c r="I122" s="249">
        <f>ROUNDUP(('DADOS BÁSICOS 2º ANO'!$D$46*H122),2)</f>
        <v>1.55</v>
      </c>
      <c r="J122" s="153"/>
    </row>
    <row r="123" spans="1:10" ht="12.75" customHeight="1">
      <c r="A123" s="108" t="s">
        <v>222</v>
      </c>
      <c r="B123" s="297" t="s">
        <v>209</v>
      </c>
      <c r="C123" s="297"/>
      <c r="D123" s="297"/>
      <c r="E123" s="297"/>
      <c r="F123" s="297"/>
      <c r="G123" s="297"/>
      <c r="H123" s="161">
        <f>((ROUNDUP((H11/11),0))/H11)</f>
        <v>0.1087</v>
      </c>
      <c r="I123" s="250">
        <f>'DADOS BÁSICOS 2º ANO'!$D$46*H123</f>
        <v>3.87</v>
      </c>
      <c r="J123" s="153"/>
    </row>
    <row r="124" spans="1:10" ht="16.5" customHeight="1">
      <c r="A124" s="154" t="s">
        <v>60</v>
      </c>
      <c r="B124" s="295" t="s">
        <v>44</v>
      </c>
      <c r="C124" s="295"/>
      <c r="D124" s="295"/>
      <c r="E124" s="295"/>
      <c r="F124" s="295"/>
      <c r="G124" s="295"/>
      <c r="H124" s="149"/>
      <c r="I124" s="163">
        <f>'DADOS BÁSICOS 2º ANO'!$D$50/'MEMÓRIA DE CÁLCULO REF 5º ANO'!H10</f>
        <v>0</v>
      </c>
      <c r="J124" s="164"/>
    </row>
    <row r="125" spans="1:10" ht="12.75" customHeight="1">
      <c r="A125" s="154" t="s">
        <v>62</v>
      </c>
      <c r="B125" s="295" t="s">
        <v>47</v>
      </c>
      <c r="C125" s="295"/>
      <c r="D125" s="295"/>
      <c r="E125" s="295"/>
      <c r="F125" s="295"/>
      <c r="G125" s="295"/>
      <c r="H125" s="149"/>
      <c r="I125" s="163">
        <f>SUM(I126:I128)</f>
        <v>0.24</v>
      </c>
      <c r="J125" s="164"/>
    </row>
    <row r="126" spans="1:10" ht="12.75" customHeight="1">
      <c r="A126" s="69" t="s">
        <v>224</v>
      </c>
      <c r="B126" s="286" t="s">
        <v>226</v>
      </c>
      <c r="C126" s="286"/>
      <c r="D126" s="286"/>
      <c r="E126" s="286"/>
      <c r="F126" s="286"/>
      <c r="G126" s="286"/>
      <c r="H126" s="149"/>
      <c r="I126" s="163">
        <f>('DADOS BÁSICOS 2º ANO'!$G$54/'DADOS BÁSICOS 2º ANO'!$C$54)/('MEMÓRIA DE CÁLCULO REF 5º ANO'!$H$11+'TELEFONISTA 2º ANO'!$H$11)</f>
        <v>0.28999999999999998</v>
      </c>
      <c r="J126" s="164"/>
    </row>
    <row r="127" spans="1:10" ht="12.75" customHeight="1">
      <c r="A127" s="158" t="s">
        <v>225</v>
      </c>
      <c r="B127" s="296" t="s">
        <v>227</v>
      </c>
      <c r="C127" s="296"/>
      <c r="D127" s="296"/>
      <c r="E127" s="296"/>
      <c r="F127" s="296"/>
      <c r="G127" s="296"/>
      <c r="H127" s="159"/>
      <c r="I127" s="165">
        <f>(('DADOS BÁSICOS LICITAÇÃO'!$G$54/'DADOS BÁSICOS LICITAÇÃO'!$C$54)/($H$11+'TELEFONISTA 2º ANO'!$H$11+(ROUNDUP(((H109*H11)/(365*0.6986)),0)+(ROUNDUP((('TELEFONISTA 2º ANO'!H109*'TELEFONISTA 2º ANO'!H11)/(365*0.6986)),0))))-I126)</f>
        <v>-0.02</v>
      </c>
      <c r="J127" s="164"/>
    </row>
    <row r="128" spans="1:10">
      <c r="A128" s="108" t="s">
        <v>225</v>
      </c>
      <c r="B128" s="297" t="s">
        <v>210</v>
      </c>
      <c r="C128" s="297"/>
      <c r="D128" s="297"/>
      <c r="E128" s="297"/>
      <c r="F128" s="297"/>
      <c r="G128" s="297"/>
      <c r="H128" s="161"/>
      <c r="I128" s="251">
        <f>(('DADOS BÁSICOS 2º ANO'!$G$54/'DADOS BÁSICOS 2º ANO'!$C$54)/('RECEPÇÃO 2º ANO'!$H$11+'TELEFONISTA 2º ANO'!$H$11+ROUNDUP((H11/11),0)+ROUNDUP(('TELEFONISTA 2º ANO'!H11/11),0)))-I126</f>
        <v>-0.03</v>
      </c>
    </row>
    <row r="129" spans="1:9" ht="14.25" customHeight="1">
      <c r="A129" s="287" t="s">
        <v>85</v>
      </c>
      <c r="B129" s="287"/>
      <c r="C129" s="287"/>
      <c r="D129" s="287"/>
      <c r="E129" s="287"/>
      <c r="F129" s="287"/>
      <c r="G129" s="287"/>
      <c r="H129" s="113"/>
      <c r="I129" s="167">
        <f>I120+I124+I125</f>
        <v>41.27</v>
      </c>
    </row>
    <row r="130" spans="1:9">
      <c r="A130" s="289" t="s">
        <v>148</v>
      </c>
      <c r="B130" s="289"/>
      <c r="C130" s="289"/>
      <c r="D130" s="289"/>
      <c r="E130" s="289"/>
      <c r="F130" s="289"/>
      <c r="G130" s="289"/>
      <c r="H130" s="132" t="s">
        <v>93</v>
      </c>
      <c r="I130" s="168">
        <f>I29</f>
        <v>1806.53</v>
      </c>
    </row>
    <row r="131" spans="1:9">
      <c r="A131" s="289"/>
      <c r="B131" s="289"/>
      <c r="C131" s="289"/>
      <c r="D131" s="289"/>
      <c r="E131" s="289"/>
      <c r="F131" s="289"/>
      <c r="G131" s="289"/>
      <c r="H131" s="132" t="s">
        <v>94</v>
      </c>
      <c r="I131" s="168">
        <f>I80</f>
        <v>1812.62</v>
      </c>
    </row>
    <row r="132" spans="1:9">
      <c r="A132" s="289"/>
      <c r="B132" s="289"/>
      <c r="C132" s="289"/>
      <c r="D132" s="289"/>
      <c r="E132" s="289"/>
      <c r="F132" s="289"/>
      <c r="G132" s="289"/>
      <c r="H132" s="132" t="s">
        <v>95</v>
      </c>
      <c r="I132" s="168">
        <f>I89</f>
        <v>59.75</v>
      </c>
    </row>
    <row r="133" spans="1:9">
      <c r="A133" s="289"/>
      <c r="B133" s="289"/>
      <c r="C133" s="289"/>
      <c r="D133" s="289"/>
      <c r="E133" s="289"/>
      <c r="F133" s="289"/>
      <c r="G133" s="289"/>
      <c r="H133" s="132" t="s">
        <v>96</v>
      </c>
      <c r="I133" s="168">
        <f>I117</f>
        <v>87.03</v>
      </c>
    </row>
    <row r="134" spans="1:9">
      <c r="A134" s="289"/>
      <c r="B134" s="289"/>
      <c r="C134" s="289"/>
      <c r="D134" s="289"/>
      <c r="E134" s="289"/>
      <c r="F134" s="289"/>
      <c r="G134" s="289"/>
      <c r="H134" s="132" t="s">
        <v>97</v>
      </c>
      <c r="I134" s="82">
        <f>I129</f>
        <v>41.27</v>
      </c>
    </row>
    <row r="135" spans="1:9" ht="24" customHeight="1">
      <c r="A135" s="289"/>
      <c r="B135" s="289"/>
      <c r="C135" s="289"/>
      <c r="D135" s="289"/>
      <c r="E135" s="289"/>
      <c r="F135" s="289"/>
      <c r="G135" s="289"/>
      <c r="H135" s="132" t="s">
        <v>85</v>
      </c>
      <c r="I135" s="82">
        <f>SUM(I130:I134)</f>
        <v>3807.2</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2º ANO'!$S8</f>
        <v>0.05</v>
      </c>
      <c r="I138" s="71">
        <f>(H138*I135)</f>
        <v>190.36</v>
      </c>
    </row>
    <row r="139" spans="1:9">
      <c r="A139" s="69" t="s">
        <v>60</v>
      </c>
      <c r="B139" s="291" t="s">
        <v>152</v>
      </c>
      <c r="C139" s="292"/>
      <c r="D139" s="292"/>
      <c r="E139" s="292"/>
      <c r="F139" s="292"/>
      <c r="G139" s="293"/>
      <c r="H139" s="124">
        <f>'DADOS BÁSICOS 2º ANO'!$T8</f>
        <v>0.05</v>
      </c>
      <c r="I139" s="71">
        <f>H139*(I135+I138)</f>
        <v>199.88</v>
      </c>
    </row>
    <row r="140" spans="1:9" ht="12.75" customHeight="1">
      <c r="A140" s="69" t="s">
        <v>62</v>
      </c>
      <c r="B140" s="294" t="s">
        <v>153</v>
      </c>
      <c r="C140" s="294"/>
      <c r="D140" s="294"/>
      <c r="E140" s="294"/>
      <c r="F140" s="294"/>
      <c r="G140" s="294"/>
      <c r="H140" s="169">
        <f>SUM(H141+H142+H143)</f>
        <v>8.6499999999999994E-2</v>
      </c>
      <c r="I140" s="170">
        <f>SUM(I141:I143)</f>
        <v>397.47</v>
      </c>
    </row>
    <row r="141" spans="1:9" ht="12.75" customHeight="1">
      <c r="A141" s="154"/>
      <c r="B141" s="286" t="s">
        <v>154</v>
      </c>
      <c r="C141" s="286"/>
      <c r="D141" s="286"/>
      <c r="E141" s="286"/>
      <c r="F141" s="286"/>
      <c r="G141" s="286"/>
      <c r="H141" s="127">
        <f>IF('DADOS BÁSICOS 2º ANO'!$B$25="LUCRO PRESUMIDO",'DADOS BÁSICOS 2º ANO'!$B$28,'DADOS BÁSICOS 2º ANO'!$C$28)</f>
        <v>0.03</v>
      </c>
      <c r="I141" s="71">
        <f>SUM(H141*I154)</f>
        <v>137.85</v>
      </c>
    </row>
    <row r="142" spans="1:9" ht="12.75" customHeight="1">
      <c r="A142" s="154"/>
      <c r="B142" s="286" t="s">
        <v>155</v>
      </c>
      <c r="C142" s="286"/>
      <c r="D142" s="286"/>
      <c r="E142" s="286"/>
      <c r="F142" s="286"/>
      <c r="G142" s="286"/>
      <c r="H142" s="127">
        <f>IF('DADOS BÁSICOS 2º ANO'!$B$25="LUCRO PRESUMIDO",'DADOS BÁSICOS 2º ANO'!$B$27,'DADOS BÁSICOS 2º ANO'!$C$27)</f>
        <v>6.4999999999999997E-3</v>
      </c>
      <c r="I142" s="71">
        <f>SUM(H142*I154)</f>
        <v>29.87</v>
      </c>
    </row>
    <row r="143" spans="1:9">
      <c r="A143" s="154"/>
      <c r="B143" s="286" t="s">
        <v>156</v>
      </c>
      <c r="C143" s="286"/>
      <c r="D143" s="286"/>
      <c r="E143" s="286"/>
      <c r="F143" s="286"/>
      <c r="G143" s="286"/>
      <c r="H143" s="127">
        <f>'DADOS BÁSICOS 2º ANO'!U8</f>
        <v>0.05</v>
      </c>
      <c r="I143" s="71">
        <f>SUM(H143*I154)</f>
        <v>229.75</v>
      </c>
    </row>
    <row r="144" spans="1:9" ht="19.5" customHeight="1">
      <c r="A144" s="287" t="s">
        <v>85</v>
      </c>
      <c r="B144" s="287"/>
      <c r="C144" s="287"/>
      <c r="D144" s="287"/>
      <c r="E144" s="287"/>
      <c r="F144" s="287"/>
      <c r="G144" s="287"/>
      <c r="H144" s="171"/>
      <c r="I144" s="80">
        <f>SUM(I138+I139+I141+I142+I143)</f>
        <v>787.71</v>
      </c>
    </row>
    <row r="145" spans="1:9" ht="12.75" customHeight="1">
      <c r="A145" s="172" t="s">
        <v>157</v>
      </c>
      <c r="B145" s="173"/>
      <c r="C145" s="173"/>
      <c r="D145" s="173"/>
      <c r="E145" s="173"/>
      <c r="F145" s="173"/>
      <c r="G145" s="173"/>
      <c r="H145" s="174"/>
      <c r="I145" s="175"/>
    </row>
    <row r="146" spans="1:9" ht="12.75" customHeight="1">
      <c r="A146" s="288" t="s">
        <v>158</v>
      </c>
      <c r="B146" s="288"/>
      <c r="C146" s="288"/>
      <c r="D146" s="288"/>
      <c r="E146" s="288"/>
      <c r="F146" s="288"/>
      <c r="G146" s="288"/>
      <c r="H146" s="148"/>
      <c r="I146" s="84" t="s">
        <v>79</v>
      </c>
    </row>
    <row r="147" spans="1:9" ht="12.75" customHeight="1">
      <c r="A147" s="176" t="s">
        <v>58</v>
      </c>
      <c r="B147" s="284" t="s">
        <v>159</v>
      </c>
      <c r="C147" s="284"/>
      <c r="D147" s="284"/>
      <c r="E147" s="284"/>
      <c r="F147" s="284"/>
      <c r="G147" s="284"/>
      <c r="H147" s="48"/>
      <c r="I147" s="177">
        <f>I29</f>
        <v>1806.53</v>
      </c>
    </row>
    <row r="148" spans="1:9" ht="12.75" customHeight="1">
      <c r="A148" s="176" t="s">
        <v>60</v>
      </c>
      <c r="B148" s="284" t="s">
        <v>121</v>
      </c>
      <c r="C148" s="284"/>
      <c r="D148" s="284"/>
      <c r="E148" s="284"/>
      <c r="F148" s="284"/>
      <c r="G148" s="284"/>
      <c r="H148" s="178"/>
      <c r="I148" s="177">
        <f>I80</f>
        <v>1812.62</v>
      </c>
    </row>
    <row r="149" spans="1:9" ht="12.75" customHeight="1">
      <c r="A149" s="176" t="s">
        <v>62</v>
      </c>
      <c r="B149" s="284" t="s">
        <v>160</v>
      </c>
      <c r="C149" s="284"/>
      <c r="D149" s="284"/>
      <c r="E149" s="284"/>
      <c r="F149" s="284"/>
      <c r="G149" s="284"/>
      <c r="H149" s="178"/>
      <c r="I149" s="177">
        <f>I89</f>
        <v>59.75</v>
      </c>
    </row>
    <row r="150" spans="1:9" ht="12.75" customHeight="1">
      <c r="A150" s="176" t="s">
        <v>64</v>
      </c>
      <c r="B150" s="284" t="s">
        <v>144</v>
      </c>
      <c r="C150" s="284"/>
      <c r="D150" s="284"/>
      <c r="E150" s="284"/>
      <c r="F150" s="284"/>
      <c r="G150" s="284"/>
      <c r="H150" s="178"/>
      <c r="I150" s="177">
        <f>I117</f>
        <v>87.03</v>
      </c>
    </row>
    <row r="151" spans="1:9" ht="16.5" customHeight="1">
      <c r="A151" s="176" t="s">
        <v>66</v>
      </c>
      <c r="B151" s="284" t="s">
        <v>161</v>
      </c>
      <c r="C151" s="284"/>
      <c r="D151" s="284"/>
      <c r="E151" s="284"/>
      <c r="F151" s="284"/>
      <c r="G151" s="284"/>
      <c r="H151" s="178"/>
      <c r="I151" s="177">
        <f>I129</f>
        <v>41.27</v>
      </c>
    </row>
    <row r="152" spans="1:9" ht="12.75" customHeight="1">
      <c r="A152" s="285" t="s">
        <v>162</v>
      </c>
      <c r="B152" s="285"/>
      <c r="C152" s="285"/>
      <c r="D152" s="285"/>
      <c r="E152" s="285"/>
      <c r="F152" s="285"/>
      <c r="G152" s="285"/>
      <c r="H152" s="179"/>
      <c r="I152" s="180">
        <f>SUM(I147:I151)</f>
        <v>3807.2</v>
      </c>
    </row>
    <row r="153" spans="1:9" ht="16.5" customHeight="1">
      <c r="A153" s="181" t="s">
        <v>84</v>
      </c>
      <c r="B153" s="286" t="s">
        <v>163</v>
      </c>
      <c r="C153" s="286"/>
      <c r="D153" s="286"/>
      <c r="E153" s="286"/>
      <c r="F153" s="286"/>
      <c r="G153" s="286"/>
      <c r="H153" s="48"/>
      <c r="I153" s="182">
        <f>I144</f>
        <v>787.71</v>
      </c>
    </row>
    <row r="154" spans="1:9" ht="19.5" customHeight="1" thickBot="1">
      <c r="A154" s="285" t="s">
        <v>164</v>
      </c>
      <c r="B154" s="285"/>
      <c r="C154" s="285"/>
      <c r="D154" s="285"/>
      <c r="E154" s="285"/>
      <c r="F154" s="285"/>
      <c r="G154" s="285"/>
      <c r="H154" s="183"/>
      <c r="I154" s="184">
        <f>SUM(I152+I138+I139)/(1-H140)</f>
        <v>4594.8999999999996</v>
      </c>
    </row>
    <row r="155" spans="1:9">
      <c r="A155" s="172" t="s">
        <v>165</v>
      </c>
      <c r="B155" s="185"/>
      <c r="C155" s="185"/>
      <c r="D155" s="185"/>
      <c r="E155" s="185"/>
      <c r="F155" s="185"/>
      <c r="G155" s="185"/>
      <c r="H155" s="186" t="s">
        <v>166</v>
      </c>
      <c r="I155" s="185" t="s">
        <v>79</v>
      </c>
    </row>
    <row r="156" spans="1:9">
      <c r="A156" s="43" t="s">
        <v>198</v>
      </c>
      <c r="B156" s="283" t="s">
        <v>25</v>
      </c>
      <c r="C156" s="283"/>
      <c r="D156" s="283"/>
      <c r="E156" s="283"/>
      <c r="F156" s="283"/>
      <c r="G156" s="283"/>
      <c r="H156" s="187">
        <f>H11</f>
        <v>46</v>
      </c>
      <c r="I156" s="188">
        <f>H156*I154</f>
        <v>211365.4</v>
      </c>
    </row>
    <row r="157" spans="1:9">
      <c r="I157" s="35"/>
    </row>
    <row r="158" spans="1:9">
      <c r="I158" s="164"/>
    </row>
    <row r="159" spans="1:9">
      <c r="I159" s="164"/>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VYHppjkpWJJRFaSX6CP8MqfL8O6QnAPLj3cSaGJOPo0eETBVm/kSX812Vm8yeVNOmZ0kfKoCiTRiW9HBuy2iMg==" saltValue="CVRpxeWh20FF7c8CNQxSMg==" spinCount="100000" sheet="1" objects="1" scenarios="1"/>
  <mergeCells count="148">
    <mergeCell ref="B7:G7"/>
    <mergeCell ref="H7:I7"/>
    <mergeCell ref="B8:G8"/>
    <mergeCell ref="H8:I8"/>
    <mergeCell ref="B9:G9"/>
    <mergeCell ref="H9:I9"/>
    <mergeCell ref="A1:I1"/>
    <mergeCell ref="A2:I2"/>
    <mergeCell ref="A3:I3"/>
    <mergeCell ref="A4:I4"/>
    <mergeCell ref="A5:I5"/>
    <mergeCell ref="A6:I6"/>
    <mergeCell ref="B14:G14"/>
    <mergeCell ref="H14:I14"/>
    <mergeCell ref="B15:G15"/>
    <mergeCell ref="H15:I15"/>
    <mergeCell ref="B16:G16"/>
    <mergeCell ref="H16:I16"/>
    <mergeCell ref="B10:G10"/>
    <mergeCell ref="H10:I10"/>
    <mergeCell ref="B11:G11"/>
    <mergeCell ref="H11:I11"/>
    <mergeCell ref="B13:G13"/>
    <mergeCell ref="H13:I13"/>
    <mergeCell ref="B20:G20"/>
    <mergeCell ref="H20:I20"/>
    <mergeCell ref="B22:G22"/>
    <mergeCell ref="B23:G23"/>
    <mergeCell ref="B24:G24"/>
    <mergeCell ref="B25:G25"/>
    <mergeCell ref="B17:G17"/>
    <mergeCell ref="H17:I17"/>
    <mergeCell ref="B18:G18"/>
    <mergeCell ref="H18:I18"/>
    <mergeCell ref="B19:G19"/>
    <mergeCell ref="H19:I19"/>
    <mergeCell ref="B32:G32"/>
    <mergeCell ref="B33:G33"/>
    <mergeCell ref="C34:G34"/>
    <mergeCell ref="C35:G35"/>
    <mergeCell ref="C36:G36"/>
    <mergeCell ref="C37:G37"/>
    <mergeCell ref="B26:G26"/>
    <mergeCell ref="B27:G27"/>
    <mergeCell ref="B28:D28"/>
    <mergeCell ref="E28:G28"/>
    <mergeCell ref="A29:G29"/>
    <mergeCell ref="B31:G31"/>
    <mergeCell ref="B47:G47"/>
    <mergeCell ref="B48:G48"/>
    <mergeCell ref="B49:G49"/>
    <mergeCell ref="B50:G50"/>
    <mergeCell ref="B51:G51"/>
    <mergeCell ref="B52:G52"/>
    <mergeCell ref="C38:G38"/>
    <mergeCell ref="C39:G39"/>
    <mergeCell ref="A40:G40"/>
    <mergeCell ref="A41:G43"/>
    <mergeCell ref="B45:G45"/>
    <mergeCell ref="B46:G46"/>
    <mergeCell ref="B61:G61"/>
    <mergeCell ref="I61:I64"/>
    <mergeCell ref="B62:G62"/>
    <mergeCell ref="B63:G63"/>
    <mergeCell ref="B64:G64"/>
    <mergeCell ref="B65:G65"/>
    <mergeCell ref="B53:G53"/>
    <mergeCell ref="A54:G54"/>
    <mergeCell ref="B56:G56"/>
    <mergeCell ref="B57:G57"/>
    <mergeCell ref="I57:I60"/>
    <mergeCell ref="B58:G58"/>
    <mergeCell ref="B59:G59"/>
    <mergeCell ref="B60:G60"/>
    <mergeCell ref="B72:G72"/>
    <mergeCell ref="B73:G73"/>
    <mergeCell ref="A74:G74"/>
    <mergeCell ref="B76:G76"/>
    <mergeCell ref="B77:G77"/>
    <mergeCell ref="B78:G78"/>
    <mergeCell ref="B66:G66"/>
    <mergeCell ref="B67:G67"/>
    <mergeCell ref="B68:G68"/>
    <mergeCell ref="B69:G69"/>
    <mergeCell ref="B70:G70"/>
    <mergeCell ref="B71:G71"/>
    <mergeCell ref="B86:G86"/>
    <mergeCell ref="B87:G87"/>
    <mergeCell ref="B88:G88"/>
    <mergeCell ref="A89:G89"/>
    <mergeCell ref="A90:G93"/>
    <mergeCell ref="B96:G96"/>
    <mergeCell ref="B79:G79"/>
    <mergeCell ref="A80:G80"/>
    <mergeCell ref="B82:G82"/>
    <mergeCell ref="B83:G83"/>
    <mergeCell ref="B84:G84"/>
    <mergeCell ref="B85:G85"/>
    <mergeCell ref="B103:G103"/>
    <mergeCell ref="B104:G104"/>
    <mergeCell ref="B105:G105"/>
    <mergeCell ref="B106:G106"/>
    <mergeCell ref="B107:G107"/>
    <mergeCell ref="B108:G108"/>
    <mergeCell ref="B97:G97"/>
    <mergeCell ref="B98:G98"/>
    <mergeCell ref="B99:G99"/>
    <mergeCell ref="B100:G100"/>
    <mergeCell ref="B101:G101"/>
    <mergeCell ref="B102:G102"/>
    <mergeCell ref="B116:G116"/>
    <mergeCell ref="A117:G117"/>
    <mergeCell ref="B119:G119"/>
    <mergeCell ref="B120:G120"/>
    <mergeCell ref="B121:G121"/>
    <mergeCell ref="B122:G122"/>
    <mergeCell ref="A109:G109"/>
    <mergeCell ref="B110:G110"/>
    <mergeCell ref="B111:G111"/>
    <mergeCell ref="A112:G112"/>
    <mergeCell ref="B114:G114"/>
    <mergeCell ref="B115:G115"/>
    <mergeCell ref="A129:G129"/>
    <mergeCell ref="A130:G135"/>
    <mergeCell ref="B137:G137"/>
    <mergeCell ref="B138:G138"/>
    <mergeCell ref="B139:G139"/>
    <mergeCell ref="B140:G140"/>
    <mergeCell ref="B123:G123"/>
    <mergeCell ref="B124:G124"/>
    <mergeCell ref="B125:G125"/>
    <mergeCell ref="B126:G126"/>
    <mergeCell ref="B127:G127"/>
    <mergeCell ref="B128:G128"/>
    <mergeCell ref="A154:G154"/>
    <mergeCell ref="B156:G156"/>
    <mergeCell ref="B148:G148"/>
    <mergeCell ref="B149:G149"/>
    <mergeCell ref="B150:G150"/>
    <mergeCell ref="B151:G151"/>
    <mergeCell ref="A152:G152"/>
    <mergeCell ref="B153:G153"/>
    <mergeCell ref="B141:G141"/>
    <mergeCell ref="B142:G142"/>
    <mergeCell ref="B143:G143"/>
    <mergeCell ref="A144:G144"/>
    <mergeCell ref="A146:G146"/>
    <mergeCell ref="B147:G147"/>
  </mergeCells>
  <pageMargins left="0.511811024" right="0.511811024" top="0.78740157500000008" bottom="0.78740157500000008" header="0.31496062000000008" footer="0.31496062000000008"/>
  <pageSetup paperSize="9" scale="65" fitToWidth="0" fitToHeight="0"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28168-54AE-4992-A65F-F93E80A29BA1}">
  <dimension ref="A1:U71"/>
  <sheetViews>
    <sheetView topLeftCell="A28" zoomScale="90" zoomScaleNormal="90" workbookViewId="0">
      <selection activeCell="L44" sqref="L44"/>
    </sheetView>
  </sheetViews>
  <sheetFormatPr defaultColWidth="8.26953125" defaultRowHeight="16"/>
  <cols>
    <col min="1" max="1" width="25.81640625" style="34" bestFit="1" customWidth="1"/>
    <col min="2" max="2" width="19.26953125" style="26" bestFit="1" customWidth="1"/>
    <col min="3" max="3" width="21.7265625" style="26" bestFit="1" customWidth="1"/>
    <col min="4" max="4" width="14.7265625" style="26" customWidth="1"/>
    <col min="5" max="5" width="13.1796875" style="26" bestFit="1" customWidth="1"/>
    <col min="6" max="6" width="14.26953125" style="26" customWidth="1"/>
    <col min="7" max="7" width="16.1796875" style="26" customWidth="1"/>
    <col min="8" max="8" width="13.54296875" style="26" bestFit="1" customWidth="1"/>
    <col min="9" max="9" width="12.453125" style="26" customWidth="1"/>
    <col min="10" max="10" width="11.1796875" style="26" bestFit="1" customWidth="1"/>
    <col min="11" max="11" width="10.7265625" style="26" customWidth="1"/>
    <col min="12" max="14" width="11.1796875" style="26" bestFit="1" customWidth="1"/>
    <col min="15" max="15" width="8.26953125" style="26" customWidth="1"/>
    <col min="16" max="16" width="8.81640625" style="26" bestFit="1" customWidth="1"/>
    <col min="17" max="18" width="8.26953125" style="26"/>
    <col min="19" max="19" width="8.81640625" style="26" bestFit="1" customWidth="1"/>
    <col min="20" max="20" width="8.26953125" style="26"/>
    <col min="21" max="21" width="8.81640625" style="26" bestFit="1" customWidth="1"/>
    <col min="22" max="22" width="8.26953125" style="26"/>
    <col min="23" max="23" width="11" style="26" bestFit="1" customWidth="1"/>
    <col min="24" max="16384" width="8.26953125" style="26"/>
  </cols>
  <sheetData>
    <row r="1" spans="1:21" ht="18">
      <c r="A1" s="361" t="s">
        <v>9</v>
      </c>
      <c r="B1" s="362"/>
      <c r="C1" s="362"/>
      <c r="D1" s="362"/>
      <c r="E1" s="362"/>
      <c r="F1" s="362"/>
      <c r="G1" s="362"/>
      <c r="H1" s="362"/>
      <c r="I1" s="362"/>
      <c r="J1" s="362"/>
      <c r="K1" s="362"/>
      <c r="L1" s="362"/>
      <c r="M1" s="362"/>
      <c r="N1" s="362"/>
      <c r="O1" s="362"/>
      <c r="P1" s="362"/>
      <c r="Q1" s="362"/>
      <c r="R1" s="362"/>
      <c r="S1" s="362"/>
      <c r="T1" s="362"/>
      <c r="U1" s="363"/>
    </row>
    <row r="2" spans="1:21" ht="18">
      <c r="A2" s="358" t="s">
        <v>276</v>
      </c>
      <c r="B2" s="359"/>
      <c r="C2" s="359"/>
      <c r="D2" s="359"/>
      <c r="E2" s="359"/>
      <c r="F2" s="359"/>
      <c r="G2" s="359"/>
      <c r="H2" s="359"/>
      <c r="I2" s="359"/>
      <c r="J2" s="359"/>
      <c r="K2" s="359"/>
      <c r="L2" s="359"/>
      <c r="M2" s="359"/>
      <c r="N2" s="359"/>
      <c r="O2" s="359"/>
      <c r="P2" s="359"/>
      <c r="Q2" s="359"/>
      <c r="R2" s="359"/>
      <c r="S2" s="359"/>
      <c r="T2" s="359"/>
      <c r="U2" s="360"/>
    </row>
    <row r="3" spans="1:21" ht="49.5">
      <c r="A3" s="252" t="str">
        <f>'DADOS BÁSICOS LICITAÇÃO'!A3</f>
        <v>Data de apresentação da proposta (dia/mês/ano)</v>
      </c>
      <c r="B3" s="252" t="str">
        <f>'DADOS BÁSICOS LICITAÇÃO'!B3</f>
        <v>DATA DA SESSÃO PÚBLICA</v>
      </c>
      <c r="C3" s="252" t="str">
        <f>'DADOS BÁSICOS LICITAÇÃO'!C3</f>
        <v>HORA DA ABERTURA</v>
      </c>
      <c r="D3" s="252" t="str">
        <f>'DADOS BÁSICOS LICITAÇÃO'!D3</f>
        <v>PROCESSO</v>
      </c>
      <c r="E3" s="252" t="str">
        <f>'DADOS BÁSICOS LICITAÇÃO'!E3</f>
        <v>PREGÃO ELETRÔNICO Nº</v>
      </c>
      <c r="G3" s="27"/>
      <c r="H3" s="27"/>
      <c r="I3" s="27"/>
      <c r="J3" s="27"/>
      <c r="K3" s="27"/>
      <c r="L3" s="27"/>
    </row>
    <row r="4" spans="1:21" ht="16.5">
      <c r="A4" s="191">
        <f ca="1">'DADOS BÁSICOS LICITAÇÃO'!A4</f>
        <v>44344</v>
      </c>
      <c r="B4" s="191">
        <f>'DADOS BÁSICOS LICITAÇÃO'!B4</f>
        <v>44358</v>
      </c>
      <c r="C4" s="253">
        <f>'DADOS BÁSICOS LICITAÇÃO'!C4</f>
        <v>0.39583333333333298</v>
      </c>
      <c r="D4" s="191" t="str">
        <f>'DADOS BÁSICOS LICITAÇÃO'!D4</f>
        <v>08385.000738/2021-44</v>
      </c>
      <c r="E4" s="191" t="str">
        <f>'DADOS BÁSICOS LICITAÇÃO'!E4</f>
        <v>01/2021</v>
      </c>
      <c r="F4" s="27"/>
      <c r="G4" s="27"/>
      <c r="H4" s="27"/>
      <c r="I4" s="27"/>
      <c r="J4" s="27"/>
      <c r="K4" s="27"/>
      <c r="L4" s="27"/>
    </row>
    <row r="5" spans="1:21" s="28" customFormat="1" ht="16.5">
      <c r="A5" s="192"/>
      <c r="D5" s="29"/>
      <c r="E5" s="29"/>
      <c r="F5" s="29"/>
      <c r="G5" s="29"/>
      <c r="H5" s="29"/>
      <c r="I5" s="29"/>
      <c r="J5" s="29"/>
      <c r="K5" s="29"/>
      <c r="L5" s="29"/>
    </row>
    <row r="6" spans="1:21" ht="16.5">
      <c r="E6" s="27"/>
      <c r="F6" s="27"/>
      <c r="G6" s="27"/>
      <c r="H6" s="27"/>
      <c r="I6" s="27"/>
      <c r="J6" s="27"/>
      <c r="K6" s="27"/>
      <c r="L6" s="27"/>
    </row>
    <row r="7" spans="1:21" s="30" customFormat="1" ht="116">
      <c r="A7" s="254" t="s">
        <v>10</v>
      </c>
      <c r="B7" s="255" t="s">
        <v>197</v>
      </c>
      <c r="C7" s="255" t="s">
        <v>241</v>
      </c>
      <c r="D7" s="254" t="s">
        <v>13</v>
      </c>
      <c r="E7" s="254" t="s">
        <v>14</v>
      </c>
      <c r="F7" s="255" t="s">
        <v>193</v>
      </c>
      <c r="G7" s="255" t="s">
        <v>15</v>
      </c>
      <c r="H7" s="254" t="s">
        <v>16</v>
      </c>
      <c r="I7" s="190" t="s">
        <v>192</v>
      </c>
      <c r="J7" s="190" t="s">
        <v>191</v>
      </c>
      <c r="K7" s="190" t="s">
        <v>190</v>
      </c>
      <c r="L7" s="190" t="s">
        <v>189</v>
      </c>
      <c r="M7" s="190" t="s">
        <v>195</v>
      </c>
      <c r="N7" s="190" t="s">
        <v>242</v>
      </c>
      <c r="O7" s="190" t="s">
        <v>243</v>
      </c>
      <c r="P7" s="190" t="s">
        <v>194</v>
      </c>
      <c r="Q7" s="190" t="s">
        <v>245</v>
      </c>
      <c r="R7" s="190" t="s">
        <v>244</v>
      </c>
      <c r="S7" s="190" t="s">
        <v>247</v>
      </c>
      <c r="T7" s="190" t="s">
        <v>248</v>
      </c>
      <c r="U7" s="256" t="s">
        <v>17</v>
      </c>
    </row>
    <row r="8" spans="1:21" s="31" customFormat="1" ht="16.5">
      <c r="A8" s="257" t="str">
        <f>'DADOS BÁSICOS LICITAÇÃO'!A8</f>
        <v>Curitiba/PR</v>
      </c>
      <c r="B8" s="22">
        <f>'DADOS BÁSICOS LICITAÇÃO'!B8</f>
        <v>46</v>
      </c>
      <c r="C8" s="211" t="str">
        <f>'DADOS BÁSICOS LICITAÇÃO'!C8</f>
        <v>Recepcionista</v>
      </c>
      <c r="D8" s="258" t="str">
        <f>'DADOS BÁSICOS LICITAÇÃO'!D8</f>
        <v>PR000326/2021</v>
      </c>
      <c r="E8" s="259">
        <f>'DADOS BÁSICOS LICITAÇÃO'!E8</f>
        <v>44228</v>
      </c>
      <c r="F8" s="258" t="str">
        <f>'DADOS BÁSICOS LICITAÇÃO'!F8</f>
        <v>SIEMACOxSEAC</v>
      </c>
      <c r="G8" s="208">
        <f>'DADOS BÁSICOS LICITAÇÃO'!G8</f>
        <v>220</v>
      </c>
      <c r="H8" s="218">
        <f>'DADOS BÁSICOS LICITAÇÃO'!H8</f>
        <v>1516.66</v>
      </c>
      <c r="I8" s="218">
        <f>'DADOS BÁSICOS LICITAÇÃO'!I8</f>
        <v>450</v>
      </c>
      <c r="J8" s="218">
        <f>'DADOS BÁSICOS LICITAÇÃO'!J8</f>
        <v>64</v>
      </c>
      <c r="K8" s="218">
        <f>'DADOS BÁSICOS LICITAÇÃO'!K8</f>
        <v>21</v>
      </c>
      <c r="L8" s="218">
        <f>'DADOS BÁSICOS LICITAÇÃO'!L8</f>
        <v>21</v>
      </c>
      <c r="M8" s="218">
        <f>'DADOS BÁSICOS LICITAÇÃO'!M8</f>
        <v>450</v>
      </c>
      <c r="N8" s="260">
        <f>'DADOS BÁSICOS LICITAÇÃO'!N8</f>
        <v>0.2</v>
      </c>
      <c r="O8" s="261">
        <f>'DADOS BÁSICOS LICITAÇÃO'!O8</f>
        <v>44</v>
      </c>
      <c r="P8" s="218">
        <f>'DADOS BÁSICOS LICITAÇÃO'!P8</f>
        <v>4.5</v>
      </c>
      <c r="Q8" s="262">
        <f>'DADOS BÁSICOS LICITAÇÃO'!Q8</f>
        <v>0.33710000000000001</v>
      </c>
      <c r="R8" s="262">
        <f>'DADOS BÁSICOS LICITAÇÃO'!R8</f>
        <v>0.33710000000000001</v>
      </c>
      <c r="S8" s="262">
        <f>'DADOS BÁSICOS LICITAÇÃO'!S8</f>
        <v>0.05</v>
      </c>
      <c r="T8" s="262">
        <f>'DADOS BÁSICOS LICITAÇÃO'!T8</f>
        <v>0.05</v>
      </c>
      <c r="U8" s="263">
        <f>'DADOS BÁSICOS LICITAÇÃO'!U8</f>
        <v>0.05</v>
      </c>
    </row>
    <row r="9" spans="1:21" ht="16.5">
      <c r="A9" s="257" t="str">
        <f>'DADOS BÁSICOS LICITAÇÃO'!A9</f>
        <v>Guarapuava/PR</v>
      </c>
      <c r="B9" s="22">
        <f>'DADOS BÁSICOS LICITAÇÃO'!B9</f>
        <v>4</v>
      </c>
      <c r="C9" s="211" t="str">
        <f>'DADOS BÁSICOS LICITAÇÃO'!C9</f>
        <v>Recepcionista</v>
      </c>
      <c r="D9" s="258" t="str">
        <f>'DADOS BÁSICOS LICITAÇÃO'!D9</f>
        <v>PR000326/2021</v>
      </c>
      <c r="E9" s="259">
        <f>'DADOS BÁSICOS LICITAÇÃO'!E9</f>
        <v>44228</v>
      </c>
      <c r="F9" s="258" t="str">
        <f>'DADOS BÁSICOS LICITAÇÃO'!F9</f>
        <v>SIEMACOxSEAC</v>
      </c>
      <c r="G9" s="208">
        <f>'DADOS BÁSICOS LICITAÇÃO'!G9</f>
        <v>220</v>
      </c>
      <c r="H9" s="218">
        <f>'DADOS BÁSICOS LICITAÇÃO'!H9</f>
        <v>1516.66</v>
      </c>
      <c r="I9" s="218">
        <f>'DADOS BÁSICOS LICITAÇÃO'!I9</f>
        <v>450</v>
      </c>
      <c r="J9" s="218">
        <f>'DADOS BÁSICOS LICITAÇÃO'!J9</f>
        <v>64</v>
      </c>
      <c r="K9" s="218">
        <f>'DADOS BÁSICOS LICITAÇÃO'!K9</f>
        <v>21</v>
      </c>
      <c r="L9" s="218">
        <f>'DADOS BÁSICOS LICITAÇÃO'!L9</f>
        <v>21</v>
      </c>
      <c r="M9" s="218">
        <f>'DADOS BÁSICOS LICITAÇÃO'!M9</f>
        <v>450</v>
      </c>
      <c r="N9" s="260">
        <f>'DADOS BÁSICOS LICITAÇÃO'!N9</f>
        <v>0.2</v>
      </c>
      <c r="O9" s="261">
        <f>'DADOS BÁSICOS LICITAÇÃO'!O9</f>
        <v>44</v>
      </c>
      <c r="P9" s="218">
        <f>'DADOS BÁSICOS LICITAÇÃO'!P9</f>
        <v>3.4</v>
      </c>
      <c r="Q9" s="262">
        <f>'DADOS BÁSICOS LICITAÇÃO'!Q9</f>
        <v>0.33710000000000001</v>
      </c>
      <c r="R9" s="262">
        <f>'DADOS BÁSICOS LICITAÇÃO'!R9</f>
        <v>0.33710000000000001</v>
      </c>
      <c r="S9" s="262">
        <f>'DADOS BÁSICOS LICITAÇÃO'!S9</f>
        <v>0.05</v>
      </c>
      <c r="T9" s="262">
        <f>'DADOS BÁSICOS LICITAÇÃO'!T9</f>
        <v>0.05</v>
      </c>
      <c r="U9" s="263">
        <f>'DADOS BÁSICOS LICITAÇÃO'!U9</f>
        <v>0.05</v>
      </c>
    </row>
    <row r="10" spans="1:21" ht="16.5">
      <c r="A10" s="257" t="str">
        <f>'DADOS BÁSICOS LICITAÇÃO'!A10</f>
        <v>Londrina/PR</v>
      </c>
      <c r="B10" s="22">
        <f>'DADOS BÁSICOS LICITAÇÃO'!B10</f>
        <v>14</v>
      </c>
      <c r="C10" s="211" t="str">
        <f>'DADOS BÁSICOS LICITAÇÃO'!C10</f>
        <v>Recepcionista</v>
      </c>
      <c r="D10" s="258" t="str">
        <f>'DADOS BÁSICOS LICITAÇÃO'!D10</f>
        <v>PR000326/2021</v>
      </c>
      <c r="E10" s="259">
        <f>'DADOS BÁSICOS LICITAÇÃO'!E10</f>
        <v>44228</v>
      </c>
      <c r="F10" s="258" t="str">
        <f>'DADOS BÁSICOS LICITAÇÃO'!F10</f>
        <v>SIEMACOxSEAC</v>
      </c>
      <c r="G10" s="208">
        <f>'DADOS BÁSICOS LICITAÇÃO'!G10</f>
        <v>220</v>
      </c>
      <c r="H10" s="218">
        <f>'DADOS BÁSICOS LICITAÇÃO'!H10</f>
        <v>1516.66</v>
      </c>
      <c r="I10" s="218">
        <f>'DADOS BÁSICOS LICITAÇÃO'!I10</f>
        <v>450</v>
      </c>
      <c r="J10" s="218">
        <f>'DADOS BÁSICOS LICITAÇÃO'!J10</f>
        <v>64</v>
      </c>
      <c r="K10" s="218">
        <f>'DADOS BÁSICOS LICITAÇÃO'!K10</f>
        <v>21</v>
      </c>
      <c r="L10" s="218">
        <f>'DADOS BÁSICOS LICITAÇÃO'!L10</f>
        <v>21</v>
      </c>
      <c r="M10" s="218">
        <f>'DADOS BÁSICOS LICITAÇÃO'!M10</f>
        <v>450</v>
      </c>
      <c r="N10" s="260">
        <f>'DADOS BÁSICOS LICITAÇÃO'!N10</f>
        <v>0.2</v>
      </c>
      <c r="O10" s="261">
        <f>'DADOS BÁSICOS LICITAÇÃO'!O10</f>
        <v>44</v>
      </c>
      <c r="P10" s="218">
        <f>'DADOS BÁSICOS LICITAÇÃO'!P10</f>
        <v>4.25</v>
      </c>
      <c r="Q10" s="262">
        <f>'DADOS BÁSICOS LICITAÇÃO'!Q10</f>
        <v>0.33710000000000001</v>
      </c>
      <c r="R10" s="262">
        <f>'DADOS BÁSICOS LICITAÇÃO'!R10</f>
        <v>0.33710000000000001</v>
      </c>
      <c r="S10" s="262">
        <f>'DADOS BÁSICOS LICITAÇÃO'!S10</f>
        <v>0.05</v>
      </c>
      <c r="T10" s="262">
        <f>'DADOS BÁSICOS LICITAÇÃO'!T10</f>
        <v>0.05</v>
      </c>
      <c r="U10" s="263">
        <f>'DADOS BÁSICOS LICITAÇÃO'!U10</f>
        <v>0.04</v>
      </c>
    </row>
    <row r="11" spans="1:21" ht="16.5">
      <c r="A11" s="257" t="str">
        <f>'DADOS BÁSICOS LICITAÇÃO'!A11</f>
        <v>Maringá/PR</v>
      </c>
      <c r="B11" s="22">
        <f>'DADOS BÁSICOS LICITAÇÃO'!B11</f>
        <v>12</v>
      </c>
      <c r="C11" s="211" t="str">
        <f>'DADOS BÁSICOS LICITAÇÃO'!C11</f>
        <v>Recepcionista</v>
      </c>
      <c r="D11" s="258" t="str">
        <f>'DADOS BÁSICOS LICITAÇÃO'!D11</f>
        <v>PR000326/2021</v>
      </c>
      <c r="E11" s="259">
        <f>'DADOS BÁSICOS LICITAÇÃO'!E11</f>
        <v>44228</v>
      </c>
      <c r="F11" s="258" t="str">
        <f>'DADOS BÁSICOS LICITAÇÃO'!F11</f>
        <v>SIEMACOxSEAC</v>
      </c>
      <c r="G11" s="208">
        <f>'DADOS BÁSICOS LICITAÇÃO'!G11</f>
        <v>220</v>
      </c>
      <c r="H11" s="218">
        <f>'DADOS BÁSICOS LICITAÇÃO'!H11</f>
        <v>1516.66</v>
      </c>
      <c r="I11" s="218">
        <f>'DADOS BÁSICOS LICITAÇÃO'!I11</f>
        <v>450</v>
      </c>
      <c r="J11" s="218">
        <f>'DADOS BÁSICOS LICITAÇÃO'!J11</f>
        <v>64</v>
      </c>
      <c r="K11" s="218">
        <f>'DADOS BÁSICOS LICITAÇÃO'!K11</f>
        <v>21</v>
      </c>
      <c r="L11" s="218">
        <f>'DADOS BÁSICOS LICITAÇÃO'!L11</f>
        <v>21</v>
      </c>
      <c r="M11" s="218">
        <f>'DADOS BÁSICOS LICITAÇÃO'!M11</f>
        <v>450</v>
      </c>
      <c r="N11" s="260">
        <f>'DADOS BÁSICOS LICITAÇÃO'!N11</f>
        <v>0.2</v>
      </c>
      <c r="O11" s="261">
        <f>'DADOS BÁSICOS LICITAÇÃO'!O11</f>
        <v>44</v>
      </c>
      <c r="P11" s="218">
        <f>'DADOS BÁSICOS LICITAÇÃO'!P11</f>
        <v>4.3</v>
      </c>
      <c r="Q11" s="262">
        <f>'DADOS BÁSICOS LICITAÇÃO'!Q11</f>
        <v>0.33710000000000001</v>
      </c>
      <c r="R11" s="262">
        <f>'DADOS BÁSICOS LICITAÇÃO'!R11</f>
        <v>0.33710000000000001</v>
      </c>
      <c r="S11" s="262">
        <f>'DADOS BÁSICOS LICITAÇÃO'!S11</f>
        <v>0.05</v>
      </c>
      <c r="T11" s="262">
        <f>'DADOS BÁSICOS LICITAÇÃO'!T11</f>
        <v>0.05</v>
      </c>
      <c r="U11" s="263">
        <f>'DADOS BÁSICOS LICITAÇÃO'!U11</f>
        <v>0.03</v>
      </c>
    </row>
    <row r="12" spans="1:21" ht="16.5">
      <c r="A12" s="257" t="str">
        <f>'DADOS BÁSICOS LICITAÇÃO'!A12</f>
        <v>Paranaguá/PR</v>
      </c>
      <c r="B12" s="22">
        <f>'DADOS BÁSICOS LICITAÇÃO'!B12</f>
        <v>6</v>
      </c>
      <c r="C12" s="211" t="str">
        <f>'DADOS BÁSICOS LICITAÇÃO'!C12</f>
        <v>Recepcionista</v>
      </c>
      <c r="D12" s="258" t="str">
        <f>'DADOS BÁSICOS LICITAÇÃO'!D12</f>
        <v>PR000326/2021</v>
      </c>
      <c r="E12" s="259">
        <f>'DADOS BÁSICOS LICITAÇÃO'!E12</f>
        <v>44228</v>
      </c>
      <c r="F12" s="258" t="str">
        <f>'DADOS BÁSICOS LICITAÇÃO'!F12</f>
        <v>SIEMACOxSEAC</v>
      </c>
      <c r="G12" s="208">
        <f>'DADOS BÁSICOS LICITAÇÃO'!G12</f>
        <v>220</v>
      </c>
      <c r="H12" s="218">
        <f>'DADOS BÁSICOS LICITAÇÃO'!H12</f>
        <v>1516.66</v>
      </c>
      <c r="I12" s="218">
        <f>'DADOS BÁSICOS LICITAÇÃO'!I12</f>
        <v>450</v>
      </c>
      <c r="J12" s="218">
        <f>'DADOS BÁSICOS LICITAÇÃO'!J12</f>
        <v>64</v>
      </c>
      <c r="K12" s="218">
        <f>'DADOS BÁSICOS LICITAÇÃO'!K12</f>
        <v>21</v>
      </c>
      <c r="L12" s="218">
        <f>'DADOS BÁSICOS LICITAÇÃO'!L12</f>
        <v>21</v>
      </c>
      <c r="M12" s="218">
        <f>'DADOS BÁSICOS LICITAÇÃO'!M12</f>
        <v>450</v>
      </c>
      <c r="N12" s="260">
        <f>'DADOS BÁSICOS LICITAÇÃO'!N12</f>
        <v>0.2</v>
      </c>
      <c r="O12" s="261">
        <f>'DADOS BÁSICOS LICITAÇÃO'!O12</f>
        <v>44</v>
      </c>
      <c r="P12" s="218">
        <f>'DADOS BÁSICOS LICITAÇÃO'!P12</f>
        <v>3.7</v>
      </c>
      <c r="Q12" s="262">
        <f>'DADOS BÁSICOS LICITAÇÃO'!Q12</f>
        <v>0.33710000000000001</v>
      </c>
      <c r="R12" s="262">
        <f>'DADOS BÁSICOS LICITAÇÃO'!R12</f>
        <v>0.33710000000000001</v>
      </c>
      <c r="S12" s="262">
        <f>'DADOS BÁSICOS LICITAÇÃO'!S12</f>
        <v>0.05</v>
      </c>
      <c r="T12" s="262">
        <f>'DADOS BÁSICOS LICITAÇÃO'!T12</f>
        <v>0.05</v>
      </c>
      <c r="U12" s="263">
        <f>'DADOS BÁSICOS LICITAÇÃO'!U12</f>
        <v>0.04</v>
      </c>
    </row>
    <row r="13" spans="1:21" ht="16.5">
      <c r="A13" s="257" t="str">
        <f>'DADOS BÁSICOS LICITAÇÃO'!A13</f>
        <v>Ponta Grossa/PR</v>
      </c>
      <c r="B13" s="22">
        <f>'DADOS BÁSICOS LICITAÇÃO'!B13</f>
        <v>4</v>
      </c>
      <c r="C13" s="211" t="str">
        <f>'DADOS BÁSICOS LICITAÇÃO'!C13</f>
        <v>Recepcionista</v>
      </c>
      <c r="D13" s="258" t="str">
        <f>'DADOS BÁSICOS LICITAÇÃO'!D13</f>
        <v>PR000326/2021</v>
      </c>
      <c r="E13" s="259">
        <f>'DADOS BÁSICOS LICITAÇÃO'!E13</f>
        <v>44228</v>
      </c>
      <c r="F13" s="258" t="str">
        <f>'DADOS BÁSICOS LICITAÇÃO'!F13</f>
        <v>SIEMACOxSEAC</v>
      </c>
      <c r="G13" s="208">
        <f>'DADOS BÁSICOS LICITAÇÃO'!G13</f>
        <v>220</v>
      </c>
      <c r="H13" s="218">
        <f>'DADOS BÁSICOS LICITAÇÃO'!H13</f>
        <v>1516.66</v>
      </c>
      <c r="I13" s="218">
        <f>'DADOS BÁSICOS LICITAÇÃO'!I13</f>
        <v>450</v>
      </c>
      <c r="J13" s="218">
        <f>'DADOS BÁSICOS LICITAÇÃO'!J13</f>
        <v>64</v>
      </c>
      <c r="K13" s="218">
        <f>'DADOS BÁSICOS LICITAÇÃO'!K13</f>
        <v>21</v>
      </c>
      <c r="L13" s="218">
        <f>'DADOS BÁSICOS LICITAÇÃO'!L13</f>
        <v>21</v>
      </c>
      <c r="M13" s="218">
        <f>'DADOS BÁSICOS LICITAÇÃO'!M13</f>
        <v>450</v>
      </c>
      <c r="N13" s="260">
        <f>'DADOS BÁSICOS LICITAÇÃO'!N13</f>
        <v>0.2</v>
      </c>
      <c r="O13" s="261">
        <f>'DADOS BÁSICOS LICITAÇÃO'!O13</f>
        <v>44</v>
      </c>
      <c r="P13" s="218">
        <f>'DADOS BÁSICOS LICITAÇÃO'!P13</f>
        <v>4.3</v>
      </c>
      <c r="Q13" s="262">
        <f>'DADOS BÁSICOS LICITAÇÃO'!Q13</f>
        <v>0.33710000000000001</v>
      </c>
      <c r="R13" s="262">
        <f>'DADOS BÁSICOS LICITAÇÃO'!R13</f>
        <v>0.33710000000000001</v>
      </c>
      <c r="S13" s="262">
        <f>'DADOS BÁSICOS LICITAÇÃO'!S13</f>
        <v>0.05</v>
      </c>
      <c r="T13" s="262">
        <f>'DADOS BÁSICOS LICITAÇÃO'!T13</f>
        <v>0.05</v>
      </c>
      <c r="U13" s="263">
        <f>'DADOS BÁSICOS LICITAÇÃO'!U13</f>
        <v>0.05</v>
      </c>
    </row>
    <row r="14" spans="1:21" ht="16.5">
      <c r="A14" s="257" t="str">
        <f>'DADOS BÁSICOS LICITAÇÃO'!A14</f>
        <v>Curitiba/PR</v>
      </c>
      <c r="B14" s="22">
        <f>'DADOS BÁSICOS LICITAÇÃO'!B14</f>
        <v>2</v>
      </c>
      <c r="C14" s="211" t="str">
        <f>'DADOS BÁSICOS LICITAÇÃO'!C14</f>
        <v>Telefonista</v>
      </c>
      <c r="D14" s="258" t="str">
        <f>'DADOS BÁSICOS LICITAÇÃO'!D14</f>
        <v>PR000326/2021</v>
      </c>
      <c r="E14" s="259">
        <f>'DADOS BÁSICOS LICITAÇÃO'!E14</f>
        <v>44228</v>
      </c>
      <c r="F14" s="258" t="str">
        <f>'DADOS BÁSICOS LICITAÇÃO'!F14</f>
        <v>SIEMACOxSEAC</v>
      </c>
      <c r="G14" s="208">
        <f>'DADOS BÁSICOS LICITAÇÃO'!G14</f>
        <v>180</v>
      </c>
      <c r="H14" s="218">
        <f>'DADOS BÁSICOS LICITAÇÃO'!H14</f>
        <v>1415.56</v>
      </c>
      <c r="I14" s="218">
        <f>'DADOS BÁSICOS LICITAÇÃO'!I14</f>
        <v>450</v>
      </c>
      <c r="J14" s="218">
        <f>'DADOS BÁSICOS LICITAÇÃO'!J14</f>
        <v>64</v>
      </c>
      <c r="K14" s="218">
        <f>'DADOS BÁSICOS LICITAÇÃO'!K14</f>
        <v>21</v>
      </c>
      <c r="L14" s="218">
        <f>'DADOS BÁSICOS LICITAÇÃO'!L14</f>
        <v>21</v>
      </c>
      <c r="M14" s="218">
        <f>'DADOS BÁSICOS LICITAÇÃO'!M14</f>
        <v>450</v>
      </c>
      <c r="N14" s="260">
        <f>'DADOS BÁSICOS LICITAÇÃO'!N14</f>
        <v>0.2</v>
      </c>
      <c r="O14" s="261">
        <f>'DADOS BÁSICOS LICITAÇÃO'!O14</f>
        <v>44</v>
      </c>
      <c r="P14" s="218">
        <f>'DADOS BÁSICOS LICITAÇÃO'!P14</f>
        <v>4.5</v>
      </c>
      <c r="Q14" s="262">
        <f>'DADOS BÁSICOS LICITAÇÃO'!Q14</f>
        <v>0.33710000000000001</v>
      </c>
      <c r="R14" s="262">
        <f>'DADOS BÁSICOS LICITAÇÃO'!R14</f>
        <v>0.33710000000000001</v>
      </c>
      <c r="S14" s="262">
        <f>'DADOS BÁSICOS LICITAÇÃO'!S14</f>
        <v>0.05</v>
      </c>
      <c r="T14" s="262">
        <f>'DADOS BÁSICOS LICITAÇÃO'!T14</f>
        <v>0.05</v>
      </c>
      <c r="U14" s="263">
        <f>'DADOS BÁSICOS LICITAÇÃO'!U14</f>
        <v>0.05</v>
      </c>
    </row>
    <row r="15" spans="1:21" ht="16.5">
      <c r="A15" s="196"/>
      <c r="B15" s="197"/>
      <c r="C15" s="198"/>
      <c r="D15" s="198"/>
      <c r="E15" s="198"/>
      <c r="F15" s="199"/>
      <c r="G15" s="198"/>
      <c r="H15" s="29"/>
      <c r="I15" s="200"/>
      <c r="J15" s="200"/>
      <c r="K15" s="200"/>
      <c r="L15" s="200"/>
      <c r="M15" s="200"/>
      <c r="N15" s="200"/>
      <c r="O15" s="201"/>
      <c r="P15" s="29"/>
      <c r="Q15" s="202"/>
      <c r="R15" s="201"/>
      <c r="S15" s="201"/>
      <c r="T15" s="32"/>
      <c r="U15" s="32"/>
    </row>
    <row r="16" spans="1:21" ht="66">
      <c r="A16" s="264" t="s">
        <v>11</v>
      </c>
      <c r="B16" s="264" t="s">
        <v>12</v>
      </c>
      <c r="C16" s="265" t="s">
        <v>236</v>
      </c>
      <c r="D16" s="265" t="s">
        <v>196</v>
      </c>
      <c r="E16" s="265" t="s">
        <v>238</v>
      </c>
      <c r="F16" s="265" t="s">
        <v>237</v>
      </c>
      <c r="G16" s="198"/>
      <c r="H16" s="29"/>
      <c r="I16" s="200"/>
      <c r="J16" s="200"/>
      <c r="K16" s="200"/>
      <c r="L16" s="200"/>
      <c r="M16" s="200"/>
      <c r="N16" s="200"/>
      <c r="O16" s="201"/>
      <c r="P16" s="29"/>
      <c r="Q16" s="202"/>
      <c r="R16" s="201"/>
      <c r="S16" s="201"/>
      <c r="T16" s="32"/>
      <c r="U16" s="32"/>
    </row>
    <row r="17" spans="1:21" ht="16.5">
      <c r="A17" s="23" t="str">
        <f>'DADOS BÁSICOS LICITAÇÃO'!A17</f>
        <v>4221-05</v>
      </c>
      <c r="B17" s="23" t="str">
        <f>'DADOS BÁSICOS LICITAÇÃO'!B17</f>
        <v>Recepcionista</v>
      </c>
      <c r="C17" s="195">
        <f>'DADOS BÁSICOS LICITAÇÃO'!C17</f>
        <v>200</v>
      </c>
      <c r="D17" s="195">
        <f>'DADOS BÁSICOS LICITAÇÃO'!D17</f>
        <v>1</v>
      </c>
      <c r="E17" s="403">
        <f>'DADOS BÁSICOS LICITAÇÃO'!E17</f>
        <v>12</v>
      </c>
      <c r="F17" s="403">
        <f>'DADOS BÁSICOS LICITAÇÃO'!F17</f>
        <v>22</v>
      </c>
      <c r="G17" s="198"/>
      <c r="H17" s="29"/>
      <c r="I17" s="200"/>
      <c r="J17" s="200"/>
      <c r="K17" s="200"/>
      <c r="L17" s="200"/>
      <c r="M17" s="200"/>
      <c r="N17" s="200"/>
      <c r="O17" s="201"/>
      <c r="P17" s="29"/>
      <c r="Q17" s="202"/>
      <c r="R17" s="201"/>
      <c r="S17" s="201"/>
      <c r="T17" s="32"/>
      <c r="U17" s="32"/>
    </row>
    <row r="18" spans="1:21" ht="16.5">
      <c r="A18" s="23" t="str">
        <f>'DADOS BÁSICOS LICITAÇÃO'!A18</f>
        <v>4222-05</v>
      </c>
      <c r="B18" s="23" t="str">
        <f>'DADOS BÁSICOS LICITAÇÃO'!B18</f>
        <v>Telefonista</v>
      </c>
      <c r="C18" s="195">
        <f>'DADOS BÁSICOS LICITAÇÃO'!C18</f>
        <v>150</v>
      </c>
      <c r="D18" s="195">
        <f>'DADOS BÁSICOS LICITAÇÃO'!D18</f>
        <v>1</v>
      </c>
      <c r="E18" s="404">
        <f>'DADOS BÁSICOS LICITAÇÃO'!E18</f>
        <v>0</v>
      </c>
      <c r="F18" s="404">
        <f>'DADOS BÁSICOS LICITAÇÃO'!F18</f>
        <v>0</v>
      </c>
      <c r="G18" s="198"/>
      <c r="H18" s="29"/>
      <c r="I18" s="200"/>
      <c r="J18" s="200"/>
      <c r="K18" s="200"/>
      <c r="L18" s="200"/>
      <c r="M18" s="200"/>
      <c r="N18" s="200"/>
      <c r="O18" s="201"/>
      <c r="P18" s="29"/>
      <c r="Q18" s="202"/>
      <c r="R18" s="201"/>
      <c r="S18" s="201"/>
      <c r="T18" s="32"/>
      <c r="U18" s="32"/>
    </row>
    <row r="19" spans="1:21" ht="16.5">
      <c r="A19" s="196"/>
      <c r="B19" s="197"/>
      <c r="C19" s="198"/>
      <c r="D19" s="198"/>
      <c r="E19" s="198"/>
      <c r="F19" s="199"/>
      <c r="G19" s="198"/>
      <c r="H19" s="29"/>
      <c r="I19" s="200"/>
      <c r="J19" s="200"/>
      <c r="K19" s="200"/>
      <c r="L19" s="200"/>
      <c r="M19" s="200"/>
      <c r="N19" s="200"/>
      <c r="O19" s="201"/>
      <c r="P19" s="29"/>
      <c r="Q19" s="202"/>
      <c r="R19" s="201"/>
      <c r="S19" s="201"/>
      <c r="T19" s="32"/>
      <c r="U19" s="32"/>
    </row>
    <row r="20" spans="1:21" ht="16.5">
      <c r="A20" s="355" t="s">
        <v>175</v>
      </c>
      <c r="B20" s="355"/>
      <c r="C20" s="355"/>
      <c r="D20" s="205"/>
      <c r="I20" s="200"/>
      <c r="J20" s="200"/>
      <c r="K20" s="200"/>
      <c r="L20" s="200"/>
      <c r="M20" s="200"/>
      <c r="N20" s="200"/>
      <c r="O20" s="201"/>
      <c r="P20" s="29"/>
      <c r="Q20" s="202"/>
      <c r="R20" s="201"/>
      <c r="S20" s="201"/>
      <c r="T20" s="32"/>
      <c r="U20" s="32"/>
    </row>
    <row r="21" spans="1:21" ht="33">
      <c r="A21" s="266" t="s">
        <v>2</v>
      </c>
      <c r="B21" s="267" t="s">
        <v>176</v>
      </c>
      <c r="C21" s="267" t="s">
        <v>240</v>
      </c>
      <c r="I21" s="200"/>
      <c r="J21" s="200"/>
      <c r="K21" s="200"/>
      <c r="L21" s="200"/>
      <c r="M21" s="200"/>
      <c r="N21" s="200"/>
      <c r="O21" s="201"/>
      <c r="P21" s="29"/>
      <c r="Q21" s="202"/>
      <c r="R21" s="201"/>
      <c r="S21" s="201"/>
      <c r="T21" s="32"/>
      <c r="U21" s="32"/>
    </row>
    <row r="22" spans="1:21" ht="17.5">
      <c r="A22" s="23" t="str">
        <f>'DADOS BÁSICOS LICITAÇÃO'!A22</f>
        <v xml:space="preserve">Hora Extra 50% </v>
      </c>
      <c r="B22" s="208">
        <f>'DADOS BÁSICOS LICITAÇÃO'!B22</f>
        <v>90</v>
      </c>
      <c r="C22" s="209">
        <f>'DADOS BÁSICOS LICITAÇÃO'!C22</f>
        <v>1.05</v>
      </c>
      <c r="I22" s="200"/>
      <c r="J22" s="200"/>
      <c r="K22" s="200"/>
      <c r="L22" s="200"/>
      <c r="M22" s="200"/>
      <c r="N22" s="200"/>
      <c r="O22" s="201"/>
      <c r="P22" s="29"/>
      <c r="Q22" s="202"/>
      <c r="R22" s="201"/>
      <c r="S22" s="201"/>
      <c r="T22" s="32"/>
      <c r="U22" s="32"/>
    </row>
    <row r="23" spans="1:21" ht="16.5">
      <c r="A23" s="196"/>
      <c r="B23" s="197"/>
      <c r="C23" s="198"/>
      <c r="D23" s="198"/>
      <c r="E23" s="198"/>
      <c r="F23" s="199"/>
      <c r="G23" s="198"/>
      <c r="H23" s="29"/>
      <c r="I23" s="200"/>
      <c r="J23" s="200"/>
      <c r="K23" s="200"/>
      <c r="L23" s="200"/>
      <c r="M23" s="200"/>
      <c r="N23" s="200"/>
      <c r="O23" s="201"/>
      <c r="P23" s="29"/>
      <c r="Q23" s="202"/>
      <c r="R23" s="201"/>
      <c r="S23" s="201"/>
      <c r="T23" s="32"/>
      <c r="U23" s="32"/>
    </row>
    <row r="24" spans="1:21" ht="21">
      <c r="A24" s="356"/>
      <c r="B24" s="355" t="s">
        <v>249</v>
      </c>
      <c r="C24" s="355"/>
      <c r="D24" s="205"/>
    </row>
    <row r="25" spans="1:21" ht="14.25" customHeight="1">
      <c r="A25" s="357"/>
      <c r="B25" s="405" t="str">
        <f>'DADOS BÁSICOS LICITAÇÃO'!B25</f>
        <v>LUCRO PRESUMIDO</v>
      </c>
      <c r="C25" s="406"/>
      <c r="D25" s="210"/>
      <c r="G25" s="210"/>
    </row>
    <row r="26" spans="1:21" ht="16.5">
      <c r="A26" s="264" t="s">
        <v>250</v>
      </c>
      <c r="B26" s="264" t="s">
        <v>28</v>
      </c>
      <c r="C26" s="264" t="s">
        <v>29</v>
      </c>
    </row>
    <row r="27" spans="1:21" ht="16.5">
      <c r="A27" s="211" t="str">
        <f>'DADOS BÁSICOS LICITAÇÃO'!A27</f>
        <v>PIS</v>
      </c>
      <c r="B27" s="212">
        <f>'DADOS BÁSICOS LICITAÇÃO'!B27</f>
        <v>6.4999999999999997E-3</v>
      </c>
      <c r="C27" s="213">
        <f>'DADOS BÁSICOS LICITAÇÃO'!C27</f>
        <v>1.6500000000000001E-2</v>
      </c>
    </row>
    <row r="28" spans="1:21" ht="16.5">
      <c r="A28" s="211" t="str">
        <f>'DADOS BÁSICOS LICITAÇÃO'!A28</f>
        <v>COFINS</v>
      </c>
      <c r="B28" s="212">
        <f>'DADOS BÁSICOS LICITAÇÃO'!B28</f>
        <v>0.03</v>
      </c>
      <c r="C28" s="213">
        <f>'DADOS BÁSICOS LICITAÇÃO'!C28</f>
        <v>7.5999999999999998E-2</v>
      </c>
    </row>
    <row r="29" spans="1:21" ht="16.5">
      <c r="A29" s="211" t="str">
        <f>'DADOS BÁSICOS LICITAÇÃO'!A29</f>
        <v>INSS</v>
      </c>
      <c r="B29" s="212">
        <f>'DADOS BÁSICOS LICITAÇÃO'!B29</f>
        <v>0.2</v>
      </c>
      <c r="C29" s="212">
        <f>'DADOS BÁSICOS LICITAÇÃO'!C29</f>
        <v>0.2</v>
      </c>
    </row>
    <row r="30" spans="1:21" ht="16.5">
      <c r="A30" s="211" t="str">
        <f>'DADOS BÁSICOS LICITAÇÃO'!A30</f>
        <v>SALARIO EDUCAÇÃO</v>
      </c>
      <c r="B30" s="212">
        <f>'DADOS BÁSICOS LICITAÇÃO'!B30</f>
        <v>2.5000000000000001E-2</v>
      </c>
      <c r="C30" s="212">
        <f>'DADOS BÁSICOS LICITAÇÃO'!C30</f>
        <v>2.5000000000000001E-2</v>
      </c>
    </row>
    <row r="31" spans="1:21" ht="16.5">
      <c r="A31" s="211" t="str">
        <f>'DADOS BÁSICOS LICITAÇÃO'!A31</f>
        <v>SAT (RAT X FAP)</v>
      </c>
      <c r="B31" s="213">
        <f>'DADOS BÁSICOS LICITAÇÃO'!B31</f>
        <v>0.03</v>
      </c>
      <c r="C31" s="213">
        <f>'DADOS BÁSICOS LICITAÇÃO'!C31</f>
        <v>0.03</v>
      </c>
      <c r="I31" s="214"/>
      <c r="J31" s="214"/>
      <c r="K31" s="214"/>
    </row>
    <row r="32" spans="1:21" ht="16.5">
      <c r="A32" s="211" t="str">
        <f>'DADOS BÁSICOS LICITAÇÃO'!A32</f>
        <v>SESC ou SESI</v>
      </c>
      <c r="B32" s="212">
        <f>'DADOS BÁSICOS LICITAÇÃO'!B32</f>
        <v>1.4999999999999999E-2</v>
      </c>
      <c r="C32" s="212">
        <f>'DADOS BÁSICOS LICITAÇÃO'!C32</f>
        <v>1.4999999999999999E-2</v>
      </c>
    </row>
    <row r="33" spans="1:11" ht="16.5">
      <c r="A33" s="211" t="str">
        <f>'DADOS BÁSICOS LICITAÇÃO'!A33</f>
        <v>SENAI ou SENAC</v>
      </c>
      <c r="B33" s="212">
        <f>'DADOS BÁSICOS LICITAÇÃO'!B33</f>
        <v>0.01</v>
      </c>
      <c r="C33" s="212">
        <f>'DADOS BÁSICOS LICITAÇÃO'!C33</f>
        <v>0.01</v>
      </c>
      <c r="I33" s="215"/>
      <c r="J33" s="215"/>
      <c r="K33" s="216"/>
    </row>
    <row r="34" spans="1:11" ht="16.5">
      <c r="A34" s="211" t="str">
        <f>'DADOS BÁSICOS LICITAÇÃO'!A34</f>
        <v>SEBRAE</v>
      </c>
      <c r="B34" s="212">
        <f>'DADOS BÁSICOS LICITAÇÃO'!B34</f>
        <v>6.0000000000000001E-3</v>
      </c>
      <c r="C34" s="212">
        <f>'DADOS BÁSICOS LICITAÇÃO'!C34</f>
        <v>6.0000000000000001E-3</v>
      </c>
      <c r="I34" s="215"/>
      <c r="J34" s="215"/>
      <c r="K34" s="217"/>
    </row>
    <row r="35" spans="1:11" ht="16.5">
      <c r="A35" s="211" t="str">
        <f>'DADOS BÁSICOS LICITAÇÃO'!A35</f>
        <v>INCRA</v>
      </c>
      <c r="B35" s="212">
        <f>'DADOS BÁSICOS LICITAÇÃO'!B35</f>
        <v>2E-3</v>
      </c>
      <c r="C35" s="212">
        <f>'DADOS BÁSICOS LICITAÇÃO'!C35</f>
        <v>2E-3</v>
      </c>
    </row>
    <row r="36" spans="1:11" ht="16.5">
      <c r="A36" s="211" t="str">
        <f>'DADOS BÁSICOS LICITAÇÃO'!A36</f>
        <v>FGTS</v>
      </c>
      <c r="B36" s="212">
        <f>'DADOS BÁSICOS LICITAÇÃO'!B36</f>
        <v>0.08</v>
      </c>
      <c r="C36" s="212">
        <f>'DADOS BÁSICOS LICITAÇÃO'!C36</f>
        <v>0.08</v>
      </c>
    </row>
    <row r="38" spans="1:11" ht="17.5">
      <c r="A38" s="355" t="s">
        <v>252</v>
      </c>
      <c r="B38" s="355"/>
      <c r="C38" s="355"/>
      <c r="D38" s="355"/>
    </row>
    <row r="39" spans="1:11" ht="33">
      <c r="A39" s="266" t="s">
        <v>2</v>
      </c>
      <c r="B39" s="267" t="s">
        <v>179</v>
      </c>
      <c r="C39" s="266" t="s">
        <v>41</v>
      </c>
      <c r="D39" s="266" t="s">
        <v>42</v>
      </c>
    </row>
    <row r="40" spans="1:11" ht="17.5">
      <c r="A40" s="208" t="str">
        <f>'DADOS BÁSICOS LICITAÇÃO'!A40</f>
        <v>Camisa Polo</v>
      </c>
      <c r="B40" s="208">
        <f>3*(SUM($B$8:$B$14))</f>
        <v>264</v>
      </c>
      <c r="C40" s="218">
        <f>'DADOS BÁSICOS LICITAÇÃO'!C40</f>
        <v>36.97</v>
      </c>
      <c r="D40" s="219">
        <f>C40*B40</f>
        <v>9760.08</v>
      </c>
    </row>
    <row r="41" spans="1:11" ht="17.5">
      <c r="A41" s="208" t="str">
        <f>'DADOS BÁSICOS LICITAÇÃO'!A41</f>
        <v>Blusas de lã</v>
      </c>
      <c r="B41" s="208">
        <f>1*(SUM($B$8:$B$14))</f>
        <v>88</v>
      </c>
      <c r="C41" s="218">
        <f>'DADOS BÁSICOS LICITAÇÃO'!C41</f>
        <v>82.25</v>
      </c>
      <c r="D41" s="219">
        <f t="shared" ref="D41:D43" si="0">C41*B41</f>
        <v>7238</v>
      </c>
    </row>
    <row r="42" spans="1:11" ht="17.5">
      <c r="A42" s="208" t="str">
        <f>'DADOS BÁSICOS LICITAÇÃO'!A42</f>
        <v>Jaquetas de Nylon</v>
      </c>
      <c r="B42" s="208">
        <f>1*(SUM($B$8:$B$14))</f>
        <v>88</v>
      </c>
      <c r="C42" s="218">
        <f>'DADOS BÁSICOS LICITAÇÃO'!C42</f>
        <v>123.38</v>
      </c>
      <c r="D42" s="219">
        <f t="shared" si="0"/>
        <v>10857.44</v>
      </c>
    </row>
    <row r="43" spans="1:11" ht="17.5">
      <c r="A43" s="208" t="str">
        <f>'DADOS BÁSICOS LICITAÇÃO'!A43</f>
        <v>Calça/Saia Jeans</v>
      </c>
      <c r="B43" s="208">
        <f>2*(SUM($B$8:$B$14))</f>
        <v>176</v>
      </c>
      <c r="C43" s="218">
        <f>'DADOS BÁSICOS LICITAÇÃO'!C43</f>
        <v>55.39</v>
      </c>
      <c r="D43" s="219">
        <f t="shared" si="0"/>
        <v>9748.64</v>
      </c>
    </row>
    <row r="44" spans="1:11" ht="17.5">
      <c r="A44" s="354" t="s">
        <v>293</v>
      </c>
      <c r="B44" s="354"/>
      <c r="C44" s="354"/>
      <c r="D44" s="219">
        <f>SUM(D40:D43)</f>
        <v>37604.160000000003</v>
      </c>
    </row>
    <row r="45" spans="1:11" ht="17.5">
      <c r="A45" s="354" t="s">
        <v>294</v>
      </c>
      <c r="B45" s="354"/>
      <c r="C45" s="354"/>
      <c r="D45" s="220">
        <f>D44/SUM(B8:B14)</f>
        <v>427.32</v>
      </c>
    </row>
    <row r="46" spans="1:11" ht="17.5">
      <c r="A46" s="354" t="s">
        <v>295</v>
      </c>
      <c r="B46" s="354"/>
      <c r="C46" s="354"/>
      <c r="D46" s="220">
        <f>D45/12</f>
        <v>35.61</v>
      </c>
    </row>
    <row r="48" spans="1:11" ht="16.5">
      <c r="A48" s="355" t="s">
        <v>254</v>
      </c>
      <c r="B48" s="355"/>
      <c r="C48" s="355"/>
      <c r="D48" s="355"/>
    </row>
    <row r="49" spans="1:8" ht="33">
      <c r="A49" s="268" t="s">
        <v>2</v>
      </c>
      <c r="B49" s="269" t="s">
        <v>45</v>
      </c>
      <c r="C49" s="268" t="s">
        <v>41</v>
      </c>
      <c r="D49" s="268" t="s">
        <v>46</v>
      </c>
    </row>
    <row r="50" spans="1:8" ht="16.5">
      <c r="A50" s="218">
        <f>'DADOS BÁSICOS LICITAÇÃO'!A$50</f>
        <v>0</v>
      </c>
      <c r="B50" s="218">
        <f>'DADOS BÁSICOS LICITAÇÃO'!B$50</f>
        <v>0</v>
      </c>
      <c r="C50" s="218">
        <f>'DADOS BÁSICOS LICITAÇÃO'!C$50</f>
        <v>0</v>
      </c>
      <c r="D50" s="218">
        <f>'DADOS BÁSICOS LICITAÇÃO'!D$50</f>
        <v>0</v>
      </c>
    </row>
    <row r="51" spans="1:8" ht="16.5">
      <c r="A51" s="27"/>
      <c r="B51" s="27"/>
      <c r="C51" s="221"/>
      <c r="D51" s="221"/>
    </row>
    <row r="52" spans="1:8" ht="16.5">
      <c r="A52" s="355" t="s">
        <v>253</v>
      </c>
      <c r="B52" s="355"/>
      <c r="C52" s="355"/>
      <c r="D52" s="355"/>
      <c r="E52" s="355"/>
      <c r="F52" s="355"/>
      <c r="G52" s="355"/>
    </row>
    <row r="53" spans="1:8" s="33" customFormat="1" ht="33">
      <c r="A53" s="268" t="s">
        <v>2</v>
      </c>
      <c r="B53" s="269" t="s">
        <v>48</v>
      </c>
      <c r="C53" s="269" t="s">
        <v>49</v>
      </c>
      <c r="D53" s="268" t="s">
        <v>41</v>
      </c>
      <c r="E53" s="268" t="s">
        <v>46</v>
      </c>
      <c r="F53" s="268" t="s">
        <v>50</v>
      </c>
      <c r="G53" s="269" t="s">
        <v>51</v>
      </c>
    </row>
    <row r="54" spans="1:8" ht="16.5">
      <c r="A54" s="208" t="s">
        <v>52</v>
      </c>
      <c r="B54" s="208">
        <v>1</v>
      </c>
      <c r="C54" s="208">
        <v>7</v>
      </c>
      <c r="D54" s="218">
        <f>'DADOS BÁSICOS LICITAÇÃO'!D54</f>
        <v>1657.95</v>
      </c>
      <c r="E54" s="222">
        <f>D54*C54*B54</f>
        <v>11605.65</v>
      </c>
      <c r="F54" s="222">
        <f>E54*10%</f>
        <v>1160.57</v>
      </c>
      <c r="G54" s="222">
        <f>F54/12</f>
        <v>96.71</v>
      </c>
    </row>
    <row r="58" spans="1:8" ht="16.5">
      <c r="A58" s="364" t="s">
        <v>255</v>
      </c>
      <c r="B58" s="364"/>
      <c r="C58" s="364"/>
      <c r="D58" s="364"/>
      <c r="E58" s="364"/>
      <c r="F58" s="364"/>
      <c r="G58" s="365"/>
      <c r="H58" s="223" t="s">
        <v>239</v>
      </c>
    </row>
    <row r="59" spans="1:8" ht="16.5" customHeight="1">
      <c r="A59" s="154" t="s">
        <v>58</v>
      </c>
      <c r="B59" s="407" t="s">
        <v>135</v>
      </c>
      <c r="C59" s="407"/>
      <c r="D59" s="407"/>
      <c r="E59" s="407"/>
      <c r="F59" s="407"/>
      <c r="G59" s="407"/>
      <c r="H59" s="270">
        <f>SUM(H60:H67)</f>
        <v>4.8734000000000002</v>
      </c>
    </row>
    <row r="60" spans="1:8" ht="16.5">
      <c r="A60" s="140" t="s">
        <v>219</v>
      </c>
      <c r="B60" s="300" t="s">
        <v>211</v>
      </c>
      <c r="C60" s="300"/>
      <c r="D60" s="300"/>
      <c r="E60" s="300"/>
      <c r="F60" s="300"/>
      <c r="G60" s="300"/>
      <c r="H60" s="224">
        <f>'DADOS BÁSICOS LICITAÇÃO'!H60</f>
        <v>1</v>
      </c>
    </row>
    <row r="61" spans="1:8" ht="16.5" customHeight="1">
      <c r="A61" s="140" t="s">
        <v>221</v>
      </c>
      <c r="B61" s="300" t="s">
        <v>212</v>
      </c>
      <c r="C61" s="300"/>
      <c r="D61" s="300"/>
      <c r="E61" s="300"/>
      <c r="F61" s="300"/>
      <c r="G61" s="300"/>
      <c r="H61" s="224">
        <f>'DADOS BÁSICOS LICITAÇÃO'!H61</f>
        <v>3.4929999999999999</v>
      </c>
    </row>
    <row r="62" spans="1:8" ht="16.5" customHeight="1">
      <c r="A62" s="140" t="s">
        <v>222</v>
      </c>
      <c r="B62" s="300" t="s">
        <v>213</v>
      </c>
      <c r="C62" s="300"/>
      <c r="D62" s="300"/>
      <c r="E62" s="300"/>
      <c r="F62" s="300"/>
      <c r="G62" s="300"/>
      <c r="H62" s="224">
        <f>'DADOS BÁSICOS LICITAÇÃO'!H62</f>
        <v>0.26879999999999998</v>
      </c>
    </row>
    <row r="63" spans="1:8" ht="16.5">
      <c r="A63" s="140" t="s">
        <v>228</v>
      </c>
      <c r="B63" s="300" t="s">
        <v>214</v>
      </c>
      <c r="C63" s="300"/>
      <c r="D63" s="300"/>
      <c r="E63" s="300"/>
      <c r="F63" s="300"/>
      <c r="G63" s="300"/>
      <c r="H63" s="224">
        <f>'DADOS BÁSICOS LICITAÇÃO'!H63</f>
        <v>4.2599999999999999E-2</v>
      </c>
    </row>
    <row r="64" spans="1:8" ht="16.5">
      <c r="A64" s="140" t="s">
        <v>229</v>
      </c>
      <c r="B64" s="300" t="s">
        <v>215</v>
      </c>
      <c r="C64" s="300"/>
      <c r="D64" s="300"/>
      <c r="E64" s="300"/>
      <c r="F64" s="300"/>
      <c r="G64" s="300"/>
      <c r="H64" s="224">
        <f>'DADOS BÁSICOS LICITAÇÃO'!H64</f>
        <v>3.5400000000000001E-2</v>
      </c>
    </row>
    <row r="65" spans="1:8" ht="16.5">
      <c r="A65" s="140" t="s">
        <v>230</v>
      </c>
      <c r="B65" s="300" t="s">
        <v>216</v>
      </c>
      <c r="C65" s="300"/>
      <c r="D65" s="300"/>
      <c r="E65" s="300"/>
      <c r="F65" s="300"/>
      <c r="G65" s="300"/>
      <c r="H65" s="224">
        <f>'DADOS BÁSICOS LICITAÇÃO'!H65</f>
        <v>0.02</v>
      </c>
    </row>
    <row r="66" spans="1:8" ht="16.5">
      <c r="A66" s="140" t="s">
        <v>231</v>
      </c>
      <c r="B66" s="300" t="s">
        <v>217</v>
      </c>
      <c r="C66" s="300"/>
      <c r="D66" s="300"/>
      <c r="E66" s="300"/>
      <c r="F66" s="300"/>
      <c r="G66" s="300"/>
      <c r="H66" s="224">
        <f>'DADOS BÁSICOS LICITAÇÃO'!H66</f>
        <v>4.0000000000000001E-3</v>
      </c>
    </row>
    <row r="67" spans="1:8" ht="16.5">
      <c r="A67" s="140" t="s">
        <v>232</v>
      </c>
      <c r="B67" s="300" t="s">
        <v>218</v>
      </c>
      <c r="C67" s="300"/>
      <c r="D67" s="300"/>
      <c r="E67" s="300"/>
      <c r="F67" s="300"/>
      <c r="G67" s="300"/>
      <c r="H67" s="224">
        <f>'DADOS BÁSICOS LICITAÇÃO'!H67</f>
        <v>9.5999999999999992E-3</v>
      </c>
    </row>
    <row r="68" spans="1:8" ht="16.5" customHeight="1">
      <c r="A68" s="69" t="s">
        <v>60</v>
      </c>
      <c r="B68" s="301" t="s">
        <v>136</v>
      </c>
      <c r="C68" s="301"/>
      <c r="D68" s="301"/>
      <c r="E68" s="301"/>
      <c r="F68" s="301"/>
      <c r="G68" s="301"/>
      <c r="H68" s="224">
        <f>'DADOS BÁSICOS LICITAÇÃO'!H68</f>
        <v>0.19980000000000001</v>
      </c>
    </row>
    <row r="69" spans="1:8" ht="16.5" customHeight="1">
      <c r="A69" s="69" t="s">
        <v>62</v>
      </c>
      <c r="B69" s="301" t="s">
        <v>137</v>
      </c>
      <c r="C69" s="301"/>
      <c r="D69" s="301"/>
      <c r="E69" s="301"/>
      <c r="F69" s="301"/>
      <c r="G69" s="301"/>
      <c r="H69" s="224">
        <f>'DADOS BÁSICOS LICITAÇÃO'!H69</f>
        <v>0.96619999999999995</v>
      </c>
    </row>
    <row r="70" spans="1:8" ht="16.5" customHeight="1">
      <c r="A70" s="69" t="s">
        <v>64</v>
      </c>
      <c r="B70" s="301" t="s">
        <v>138</v>
      </c>
      <c r="C70" s="301"/>
      <c r="D70" s="301"/>
      <c r="E70" s="301"/>
      <c r="F70" s="301"/>
      <c r="G70" s="301"/>
      <c r="H70" s="224">
        <f>'DADOS BÁSICOS LICITAÇÃO'!H70</f>
        <v>2.4771999999999998</v>
      </c>
    </row>
    <row r="71" spans="1:8" ht="16.5" customHeight="1">
      <c r="A71" s="41" t="s">
        <v>66</v>
      </c>
      <c r="B71" s="301" t="s">
        <v>139</v>
      </c>
      <c r="C71" s="301"/>
      <c r="D71" s="301"/>
      <c r="E71" s="301"/>
      <c r="F71" s="301"/>
      <c r="G71" s="301"/>
      <c r="H71" s="224">
        <f>'DADOS BÁSICOS LICITAÇÃO'!H71</f>
        <v>0</v>
      </c>
    </row>
  </sheetData>
  <sheetProtection algorithmName="SHA-512" hashValue="lggZ43ftC2ODfcDy1F1ox13H3ciVzlHrk078FuiENufKYtyrm7qUGHSYGwHjpjFSdZiX1NN7NGPbuw3dUg5wsw==" saltValue="ADaiW0oiDymIIo+1G+JGtg==" spinCount="100000" sheet="1" objects="1" scenarios="1"/>
  <mergeCells count="28">
    <mergeCell ref="A24:A25"/>
    <mergeCell ref="B24:C24"/>
    <mergeCell ref="B25:C25"/>
    <mergeCell ref="A1:U1"/>
    <mergeCell ref="A2:U2"/>
    <mergeCell ref="E17:E18"/>
    <mergeCell ref="F17:F18"/>
    <mergeCell ref="A20:C20"/>
    <mergeCell ref="B63:G63"/>
    <mergeCell ref="A38:D38"/>
    <mergeCell ref="A44:C44"/>
    <mergeCell ref="A45:C45"/>
    <mergeCell ref="A46:C46"/>
    <mergeCell ref="A48:D48"/>
    <mergeCell ref="A52:G52"/>
    <mergeCell ref="A58:G58"/>
    <mergeCell ref="B59:G59"/>
    <mergeCell ref="B60:G60"/>
    <mergeCell ref="B61:G61"/>
    <mergeCell ref="B62:G62"/>
    <mergeCell ref="B70:G70"/>
    <mergeCell ref="B71:G71"/>
    <mergeCell ref="B64:G64"/>
    <mergeCell ref="B65:G65"/>
    <mergeCell ref="B66:G66"/>
    <mergeCell ref="B67:G67"/>
    <mergeCell ref="B68:G68"/>
    <mergeCell ref="B69:G69"/>
  </mergeCells>
  <dataValidations count="1">
    <dataValidation type="list" allowBlank="1" showInputMessage="1" showErrorMessage="1" sqref="B25" xr:uid="{B4F66D88-BE6E-41B0-8339-72E0D9135E7F}">
      <formula1>$B$26:$C$26</formula1>
    </dataValidation>
  </dataValidations>
  <pageMargins left="0.511811024" right="0.511811024" top="0.78740157500000008" bottom="0.78740157500000008" header="0.31496062000000008" footer="0.31496062000000008"/>
  <pageSetup paperSize="9" scale="32" fitToWidth="0" fitToHeight="0" orientation="portrait" r:id="rId1"/>
  <colBreaks count="1" manualBreakCount="1">
    <brk id="14" man="1"/>
  </colBreaks>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75F8F-1762-42B0-9EEB-F5C2A9B814CD}">
  <dimension ref="A1:T273"/>
  <sheetViews>
    <sheetView topLeftCell="A127" zoomScale="90" zoomScaleNormal="90" workbookViewId="0">
      <selection activeCell="N149" sqref="N149"/>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9.1796875" style="35" bestFit="1" customWidth="1"/>
    <col min="8" max="8" width="15.81640625" style="35" bestFit="1" customWidth="1"/>
    <col min="9" max="9" width="13.54296875" style="189" bestFit="1" customWidth="1"/>
    <col min="10" max="10" width="15.81640625" style="35" bestFit="1" customWidth="1"/>
    <col min="11" max="11" width="13.54296875" style="35" bestFit="1" customWidth="1"/>
    <col min="12" max="12" width="15.81640625" style="35" bestFit="1" customWidth="1"/>
    <col min="13" max="13" width="13.54296875" style="35" bestFit="1" customWidth="1"/>
    <col min="14" max="14" width="15.81640625" style="35" bestFit="1" customWidth="1"/>
    <col min="15" max="15" width="13.54296875" style="35" bestFit="1" customWidth="1"/>
    <col min="16" max="16" width="15.81640625" style="35" bestFit="1" customWidth="1"/>
    <col min="17" max="17" width="13.54296875" style="35" bestFit="1" customWidth="1"/>
    <col min="18" max="18" width="15.81640625" style="35" bestFit="1" customWidth="1"/>
    <col min="19" max="19" width="13.54296875" style="35" bestFit="1" customWidth="1"/>
    <col min="20" max="20" width="11.7265625" style="35" customWidth="1"/>
    <col min="21" max="16384" width="11.7265625" style="35"/>
  </cols>
  <sheetData>
    <row r="1" spans="1:19" ht="48" customHeight="1">
      <c r="A1" s="385" t="s">
        <v>53</v>
      </c>
      <c r="B1" s="385"/>
      <c r="C1" s="385"/>
      <c r="D1" s="385"/>
      <c r="E1" s="385"/>
      <c r="F1" s="385"/>
      <c r="G1" s="385"/>
      <c r="H1" s="385"/>
      <c r="I1" s="385"/>
      <c r="J1" s="385"/>
      <c r="K1" s="385"/>
      <c r="L1" s="385"/>
      <c r="M1" s="385"/>
      <c r="N1" s="385"/>
      <c r="O1" s="385"/>
      <c r="P1" s="385"/>
      <c r="Q1" s="385"/>
      <c r="R1" s="385"/>
      <c r="S1" s="385"/>
    </row>
    <row r="2" spans="1:19" ht="12.75" customHeight="1">
      <c r="A2" s="349" t="s">
        <v>54</v>
      </c>
      <c r="B2" s="349"/>
      <c r="C2" s="349"/>
      <c r="D2" s="349"/>
      <c r="E2" s="349"/>
      <c r="F2" s="349"/>
      <c r="G2" s="349"/>
      <c r="H2" s="349"/>
      <c r="I2" s="349"/>
      <c r="J2" s="349"/>
      <c r="K2" s="349"/>
      <c r="L2" s="349"/>
      <c r="M2" s="349"/>
      <c r="N2" s="349"/>
      <c r="O2" s="349"/>
      <c r="P2" s="349"/>
      <c r="Q2" s="349"/>
      <c r="R2" s="349"/>
      <c r="S2" s="349"/>
    </row>
    <row r="3" spans="1:19" ht="12.75" customHeight="1">
      <c r="A3" s="349" t="s">
        <v>55</v>
      </c>
      <c r="B3" s="349"/>
      <c r="C3" s="349"/>
      <c r="D3" s="349"/>
      <c r="E3" s="349"/>
      <c r="F3" s="349"/>
      <c r="G3" s="349"/>
      <c r="H3" s="349"/>
      <c r="I3" s="349"/>
      <c r="J3" s="349"/>
      <c r="K3" s="349"/>
      <c r="L3" s="349"/>
      <c r="M3" s="349"/>
      <c r="N3" s="349"/>
      <c r="O3" s="349"/>
      <c r="P3" s="349"/>
      <c r="Q3" s="349"/>
      <c r="R3" s="349"/>
      <c r="S3" s="349"/>
    </row>
    <row r="4" spans="1:19" ht="12.75" customHeight="1">
      <c r="A4" s="350" t="s">
        <v>56</v>
      </c>
      <c r="B4" s="350"/>
      <c r="C4" s="350"/>
      <c r="D4" s="350"/>
      <c r="E4" s="350"/>
      <c r="F4" s="350"/>
      <c r="G4" s="350"/>
      <c r="H4" s="350"/>
      <c r="I4" s="350"/>
      <c r="J4" s="350"/>
      <c r="K4" s="350"/>
      <c r="L4" s="350"/>
      <c r="M4" s="350"/>
      <c r="N4" s="350"/>
      <c r="O4" s="350"/>
      <c r="P4" s="350"/>
      <c r="Q4" s="350"/>
      <c r="R4" s="350"/>
      <c r="S4" s="350"/>
    </row>
    <row r="5" spans="1:19" ht="12.75" customHeight="1">
      <c r="A5" s="351"/>
      <c r="B5" s="351"/>
      <c r="C5" s="351"/>
      <c r="D5" s="351"/>
      <c r="E5" s="351"/>
      <c r="F5" s="351"/>
      <c r="G5" s="351"/>
      <c r="H5" s="351"/>
      <c r="I5" s="351"/>
    </row>
    <row r="6" spans="1:19" ht="21" customHeight="1" thickBot="1">
      <c r="A6" s="352" t="s">
        <v>57</v>
      </c>
      <c r="B6" s="352"/>
      <c r="C6" s="352"/>
      <c r="D6" s="352"/>
      <c r="E6" s="352"/>
      <c r="F6" s="352"/>
      <c r="G6" s="352"/>
      <c r="H6" s="352"/>
      <c r="I6" s="352"/>
      <c r="J6" s="352"/>
      <c r="K6" s="352"/>
      <c r="L6" s="352"/>
      <c r="M6" s="352"/>
      <c r="N6" s="352"/>
      <c r="O6" s="352"/>
      <c r="P6" s="352"/>
      <c r="Q6" s="352"/>
      <c r="R6" s="352"/>
      <c r="S6" s="352"/>
    </row>
    <row r="7" spans="1:19" ht="12.75" customHeight="1">
      <c r="A7" s="36" t="s">
        <v>58</v>
      </c>
      <c r="B7" s="302" t="s">
        <v>59</v>
      </c>
      <c r="C7" s="303"/>
      <c r="D7" s="303"/>
      <c r="E7" s="303"/>
      <c r="F7" s="303"/>
      <c r="G7" s="284"/>
      <c r="H7" s="346">
        <f ca="1">'DADOS BÁSICOS 5º ANO'!$A$4</f>
        <v>44344</v>
      </c>
      <c r="I7" s="346"/>
      <c r="J7" s="346">
        <f ca="1">'DADOS BÁSICOS 5º ANO'!$A$4</f>
        <v>44344</v>
      </c>
      <c r="K7" s="346"/>
      <c r="L7" s="346">
        <f ca="1">'DADOS BÁSICOS 5º ANO'!$A$4</f>
        <v>44344</v>
      </c>
      <c r="M7" s="346"/>
      <c r="N7" s="346">
        <f ca="1">'DADOS BÁSICOS 5º ANO'!$A$4</f>
        <v>44344</v>
      </c>
      <c r="O7" s="346"/>
      <c r="P7" s="346">
        <f ca="1">'DADOS BÁSICOS 5º ANO'!$A$4</f>
        <v>44344</v>
      </c>
      <c r="Q7" s="346"/>
      <c r="R7" s="346">
        <f ca="1">'DADOS BÁSICOS 5º ANO'!$A$4</f>
        <v>44344</v>
      </c>
      <c r="S7" s="346"/>
    </row>
    <row r="8" spans="1:19" ht="12.75" customHeight="1">
      <c r="A8" s="36" t="s">
        <v>60</v>
      </c>
      <c r="B8" s="286" t="s">
        <v>61</v>
      </c>
      <c r="C8" s="286"/>
      <c r="D8" s="286"/>
      <c r="E8" s="286"/>
      <c r="F8" s="286"/>
      <c r="G8" s="286"/>
      <c r="H8" s="345" t="str">
        <f>'DADOS BÁSICOS 5º ANO'!A8</f>
        <v>Curitiba/PR</v>
      </c>
      <c r="I8" s="345"/>
      <c r="J8" s="387" t="str">
        <f>'DADOS BÁSICOS 5º ANO'!A9</f>
        <v>Guarapuava/PR</v>
      </c>
      <c r="K8" s="387"/>
      <c r="L8" s="387" t="str">
        <f>'DADOS BÁSICOS 5º ANO'!A10</f>
        <v>Londrina/PR</v>
      </c>
      <c r="M8" s="387"/>
      <c r="N8" s="387" t="str">
        <f>'DADOS BÁSICOS 5º ANO'!A11</f>
        <v>Maringá/PR</v>
      </c>
      <c r="O8" s="387"/>
      <c r="P8" s="387" t="str">
        <f>'DADOS BÁSICOS 5º ANO'!A12</f>
        <v>Paranaguá/PR</v>
      </c>
      <c r="Q8" s="387"/>
      <c r="R8" s="387" t="str">
        <f>'DADOS BÁSICOS 5º ANO'!A13</f>
        <v>Ponta Grossa/PR</v>
      </c>
      <c r="S8" s="387"/>
    </row>
    <row r="9" spans="1:19" ht="12.75" customHeight="1">
      <c r="A9" s="36" t="s">
        <v>62</v>
      </c>
      <c r="B9" s="286" t="s">
        <v>63</v>
      </c>
      <c r="C9" s="286"/>
      <c r="D9" s="286"/>
      <c r="E9" s="286"/>
      <c r="F9" s="286"/>
      <c r="G9" s="286"/>
      <c r="H9" s="344" t="str">
        <f>'DADOS BÁSICOS 5º ANO'!D8</f>
        <v>PR000326/2021</v>
      </c>
      <c r="I9" s="344"/>
      <c r="J9" s="344" t="str">
        <f>'DADOS BÁSICOS 5º ANO'!D9</f>
        <v>PR000326/2021</v>
      </c>
      <c r="K9" s="344"/>
      <c r="L9" s="344" t="str">
        <f>'DADOS BÁSICOS 5º ANO'!D10</f>
        <v>PR000326/2021</v>
      </c>
      <c r="M9" s="344"/>
      <c r="N9" s="344" t="str">
        <f>'DADOS BÁSICOS 5º ANO'!D11</f>
        <v>PR000326/2021</v>
      </c>
      <c r="O9" s="344"/>
      <c r="P9" s="344" t="str">
        <f>'DADOS BÁSICOS 5º ANO'!D12</f>
        <v>PR000326/2021</v>
      </c>
      <c r="Q9" s="344"/>
      <c r="R9" s="344" t="str">
        <f>'DADOS BÁSICOS 5º ANO'!D13</f>
        <v>PR000326/2021</v>
      </c>
      <c r="S9" s="344"/>
    </row>
    <row r="10" spans="1:19" ht="12.75" customHeight="1">
      <c r="A10" s="36" t="s">
        <v>64</v>
      </c>
      <c r="B10" s="286" t="s">
        <v>65</v>
      </c>
      <c r="C10" s="286"/>
      <c r="D10" s="286"/>
      <c r="E10" s="286"/>
      <c r="F10" s="286"/>
      <c r="G10" s="286"/>
      <c r="H10" s="344">
        <f>'DADOS BÁSICOS 5º ANO'!$E$17</f>
        <v>12</v>
      </c>
      <c r="I10" s="344"/>
      <c r="J10" s="344">
        <f>'DADOS BÁSICOS 5º ANO'!$E$17</f>
        <v>12</v>
      </c>
      <c r="K10" s="344"/>
      <c r="L10" s="344">
        <f>'DADOS BÁSICOS 5º ANO'!$E$17</f>
        <v>12</v>
      </c>
      <c r="M10" s="344"/>
      <c r="N10" s="344">
        <f>'DADOS BÁSICOS 5º ANO'!$E$17</f>
        <v>12</v>
      </c>
      <c r="O10" s="344"/>
      <c r="P10" s="344">
        <f>'DADOS BÁSICOS 5º ANO'!$E$17</f>
        <v>12</v>
      </c>
      <c r="Q10" s="344"/>
      <c r="R10" s="344">
        <f>'DADOS BÁSICOS 5º ANO'!$E$17</f>
        <v>12</v>
      </c>
      <c r="S10" s="344"/>
    </row>
    <row r="11" spans="1:19" ht="12.75" customHeight="1">
      <c r="A11" s="36" t="s">
        <v>66</v>
      </c>
      <c r="B11" s="286" t="s">
        <v>67</v>
      </c>
      <c r="C11" s="286"/>
      <c r="D11" s="286"/>
      <c r="E11" s="286"/>
      <c r="F11" s="286"/>
      <c r="G11" s="286"/>
      <c r="H11" s="344">
        <f>'DADOS BÁSICOS 5º ANO'!B8</f>
        <v>46</v>
      </c>
      <c r="I11" s="344"/>
      <c r="J11" s="344">
        <f>'DADOS BÁSICOS 5º ANO'!B9</f>
        <v>4</v>
      </c>
      <c r="K11" s="344"/>
      <c r="L11" s="344">
        <f>'DADOS BÁSICOS 5º ANO'!B10</f>
        <v>14</v>
      </c>
      <c r="M11" s="344"/>
      <c r="N11" s="344">
        <f>'DADOS BÁSICOS 5º ANO'!B11</f>
        <v>12</v>
      </c>
      <c r="O11" s="344"/>
      <c r="P11" s="344">
        <f>'DADOS BÁSICOS 5º ANO'!B12</f>
        <v>6</v>
      </c>
      <c r="Q11" s="344"/>
      <c r="R11" s="344">
        <f>'DADOS BÁSICOS 5º ANO'!B13</f>
        <v>4</v>
      </c>
      <c r="S11" s="344"/>
    </row>
    <row r="12" spans="1:19" ht="12.75" customHeight="1">
      <c r="A12" s="37" t="s">
        <v>68</v>
      </c>
      <c r="B12" s="38"/>
      <c r="C12" s="38"/>
      <c r="D12" s="38"/>
      <c r="E12" s="38"/>
      <c r="F12" s="38"/>
      <c r="G12" s="38"/>
      <c r="H12" s="39"/>
      <c r="I12" s="40"/>
      <c r="J12" s="39"/>
      <c r="K12" s="40"/>
      <c r="L12" s="39"/>
      <c r="M12" s="40"/>
      <c r="N12" s="39"/>
      <c r="O12" s="40"/>
      <c r="P12" s="39"/>
      <c r="Q12" s="40"/>
      <c r="R12" s="39"/>
      <c r="S12" s="40"/>
    </row>
    <row r="13" spans="1:19" ht="27" customHeight="1">
      <c r="A13" s="36">
        <v>1</v>
      </c>
      <c r="B13" s="286" t="s">
        <v>69</v>
      </c>
      <c r="C13" s="286"/>
      <c r="D13" s="286"/>
      <c r="E13" s="286"/>
      <c r="F13" s="286"/>
      <c r="G13" s="286"/>
      <c r="H13" s="343" t="s">
        <v>70</v>
      </c>
      <c r="I13" s="343"/>
      <c r="J13" s="343" t="s">
        <v>70</v>
      </c>
      <c r="K13" s="343"/>
      <c r="L13" s="343" t="s">
        <v>70</v>
      </c>
      <c r="M13" s="343"/>
      <c r="N13" s="343" t="s">
        <v>70</v>
      </c>
      <c r="O13" s="343"/>
      <c r="P13" s="343" t="s">
        <v>70</v>
      </c>
      <c r="Q13" s="343"/>
      <c r="R13" s="343" t="s">
        <v>70</v>
      </c>
      <c r="S13" s="343"/>
    </row>
    <row r="14" spans="1:19" ht="12.75" customHeight="1">
      <c r="A14" s="36">
        <v>2</v>
      </c>
      <c r="B14" s="286" t="s">
        <v>71</v>
      </c>
      <c r="C14" s="286"/>
      <c r="D14" s="286"/>
      <c r="E14" s="286"/>
      <c r="F14" s="286"/>
      <c r="G14" s="286"/>
      <c r="H14" s="342" t="str">
        <f>'DADOS BÁSICOS 5º ANO'!$A$17</f>
        <v>4221-05</v>
      </c>
      <c r="I14" s="342"/>
      <c r="J14" s="342" t="str">
        <f>'DADOS BÁSICOS 5º ANO'!$A$17</f>
        <v>4221-05</v>
      </c>
      <c r="K14" s="342"/>
      <c r="L14" s="342" t="str">
        <f>'DADOS BÁSICOS 5º ANO'!$A$17</f>
        <v>4221-05</v>
      </c>
      <c r="M14" s="342"/>
      <c r="N14" s="342" t="str">
        <f>'DADOS BÁSICOS 5º ANO'!$A$17</f>
        <v>4221-05</v>
      </c>
      <c r="O14" s="342"/>
      <c r="P14" s="342" t="str">
        <f>'DADOS BÁSICOS 5º ANO'!$A$17</f>
        <v>4221-05</v>
      </c>
      <c r="Q14" s="342"/>
      <c r="R14" s="342" t="str">
        <f>'DADOS BÁSICOS 5º ANO'!$A$17</f>
        <v>4221-05</v>
      </c>
      <c r="S14" s="342"/>
    </row>
    <row r="15" spans="1:19" ht="15" customHeight="1">
      <c r="A15" s="36">
        <v>4</v>
      </c>
      <c r="B15" s="286" t="s">
        <v>73</v>
      </c>
      <c r="C15" s="286"/>
      <c r="D15" s="286"/>
      <c r="E15" s="286"/>
      <c r="F15" s="286"/>
      <c r="G15" s="286"/>
      <c r="H15" s="342" t="str">
        <f>'DADOS BÁSICOS 5º ANO'!$B$17</f>
        <v>Recepcionista</v>
      </c>
      <c r="I15" s="342"/>
      <c r="J15" s="342" t="str">
        <f>'DADOS BÁSICOS 5º ANO'!$B$17</f>
        <v>Recepcionista</v>
      </c>
      <c r="K15" s="342"/>
      <c r="L15" s="342" t="str">
        <f>'DADOS BÁSICOS 5º ANO'!$B$17</f>
        <v>Recepcionista</v>
      </c>
      <c r="M15" s="342"/>
      <c r="N15" s="342" t="str">
        <f>'DADOS BÁSICOS 5º ANO'!$B$17</f>
        <v>Recepcionista</v>
      </c>
      <c r="O15" s="342"/>
      <c r="P15" s="342" t="str">
        <f>'DADOS BÁSICOS 5º ANO'!$B$17</f>
        <v>Recepcionista</v>
      </c>
      <c r="Q15" s="342"/>
      <c r="R15" s="342" t="str">
        <f>'DADOS BÁSICOS 5º ANO'!$B$17</f>
        <v>Recepcionista</v>
      </c>
      <c r="S15" s="342"/>
    </row>
    <row r="16" spans="1:19" ht="12.75" customHeight="1">
      <c r="A16" s="41">
        <v>5</v>
      </c>
      <c r="B16" s="286" t="s">
        <v>74</v>
      </c>
      <c r="C16" s="286"/>
      <c r="D16" s="286"/>
      <c r="E16" s="286"/>
      <c r="F16" s="286"/>
      <c r="G16" s="286"/>
      <c r="H16" s="384">
        <f>'DADOS BÁSICOS 5º ANO'!E8</f>
        <v>44228</v>
      </c>
      <c r="I16" s="384"/>
      <c r="J16" s="384">
        <f>'DADOS BÁSICOS 5º ANO'!E9</f>
        <v>44228</v>
      </c>
      <c r="K16" s="384"/>
      <c r="L16" s="384">
        <f>'DADOS BÁSICOS 5º ANO'!E10</f>
        <v>44228</v>
      </c>
      <c r="M16" s="384"/>
      <c r="N16" s="384">
        <f>'DADOS BÁSICOS 5º ANO'!E11</f>
        <v>44228</v>
      </c>
      <c r="O16" s="384"/>
      <c r="P16" s="384">
        <f>'DADOS BÁSICOS 5º ANO'!E12</f>
        <v>44228</v>
      </c>
      <c r="Q16" s="384"/>
      <c r="R16" s="384">
        <f>'DADOS BÁSICOS 5º ANO'!E13</f>
        <v>44228</v>
      </c>
      <c r="S16" s="384"/>
    </row>
    <row r="17" spans="1:19" ht="12.75" customHeight="1">
      <c r="A17" s="36">
        <v>3</v>
      </c>
      <c r="B17" s="286" t="s">
        <v>72</v>
      </c>
      <c r="C17" s="286"/>
      <c r="D17" s="286"/>
      <c r="E17" s="286"/>
      <c r="F17" s="286"/>
      <c r="G17" s="286"/>
      <c r="H17" s="383">
        <f>'DADOS BÁSICOS 5º ANO'!H8</f>
        <v>1516.66</v>
      </c>
      <c r="I17" s="383"/>
      <c r="J17" s="383">
        <f>'DADOS BÁSICOS 5º ANO'!H9</f>
        <v>1516.66</v>
      </c>
      <c r="K17" s="383"/>
      <c r="L17" s="383">
        <f>'DADOS BÁSICOS 5º ANO'!H10</f>
        <v>1516.66</v>
      </c>
      <c r="M17" s="383"/>
      <c r="N17" s="383">
        <f>'DADOS BÁSICOS 5º ANO'!H11</f>
        <v>1516.66</v>
      </c>
      <c r="O17" s="383"/>
      <c r="P17" s="383">
        <f>'DADOS BÁSICOS 5º ANO'!H12</f>
        <v>1516.66</v>
      </c>
      <c r="Q17" s="383"/>
      <c r="R17" s="383">
        <f>'DADOS BÁSICOS 5º ANO'!H13</f>
        <v>1516.66</v>
      </c>
      <c r="S17" s="383"/>
    </row>
    <row r="18" spans="1:19" ht="12.75" customHeight="1">
      <c r="A18" s="43">
        <v>6</v>
      </c>
      <c r="B18" s="284" t="s">
        <v>233</v>
      </c>
      <c r="C18" s="284"/>
      <c r="D18" s="284"/>
      <c r="E18" s="284"/>
      <c r="F18" s="284"/>
      <c r="G18" s="284"/>
      <c r="H18" s="382">
        <f>'DADOS BÁSICOS 5º ANO'!G8</f>
        <v>220</v>
      </c>
      <c r="I18" s="382"/>
      <c r="J18" s="336">
        <f>'DADOS BÁSICOS 5º ANO'!G9</f>
        <v>220</v>
      </c>
      <c r="K18" s="337"/>
      <c r="L18" s="336">
        <f>'DADOS BÁSICOS 5º ANO'!G10</f>
        <v>220</v>
      </c>
      <c r="M18" s="337"/>
      <c r="N18" s="336">
        <f>'DADOS BÁSICOS 5º ANO'!G11</f>
        <v>220</v>
      </c>
      <c r="O18" s="337"/>
      <c r="P18" s="336">
        <f>'DADOS BÁSICOS 5º ANO'!G12</f>
        <v>220</v>
      </c>
      <c r="Q18" s="337"/>
      <c r="R18" s="336">
        <f>'DADOS BÁSICOS 5º ANO'!G13</f>
        <v>220</v>
      </c>
      <c r="S18" s="337"/>
    </row>
    <row r="19" spans="1:19" ht="12.75" customHeight="1">
      <c r="A19" s="43">
        <v>6</v>
      </c>
      <c r="B19" s="303" t="s">
        <v>234</v>
      </c>
      <c r="C19" s="303"/>
      <c r="D19" s="303"/>
      <c r="E19" s="303"/>
      <c r="F19" s="303"/>
      <c r="G19" s="284"/>
      <c r="H19" s="336">
        <f>'DADOS BÁSICOS 5º ANO'!$C$17</f>
        <v>200</v>
      </c>
      <c r="I19" s="337"/>
      <c r="J19" s="336">
        <f>'DADOS BÁSICOS 5º ANO'!$C$17</f>
        <v>200</v>
      </c>
      <c r="K19" s="337"/>
      <c r="L19" s="336">
        <f>'DADOS BÁSICOS 5º ANO'!$C$17</f>
        <v>200</v>
      </c>
      <c r="M19" s="337"/>
      <c r="N19" s="336">
        <f>'DADOS BÁSICOS 5º ANO'!$C$17</f>
        <v>200</v>
      </c>
      <c r="O19" s="337"/>
      <c r="P19" s="336">
        <f>'DADOS BÁSICOS 5º ANO'!$C$17</f>
        <v>200</v>
      </c>
      <c r="Q19" s="337"/>
      <c r="R19" s="336">
        <f>'DADOS BÁSICOS 5º ANO'!$C$17</f>
        <v>200</v>
      </c>
      <c r="S19" s="337"/>
    </row>
    <row r="20" spans="1:19" ht="12.75" customHeight="1">
      <c r="A20" s="43">
        <v>7</v>
      </c>
      <c r="B20" s="284" t="s">
        <v>75</v>
      </c>
      <c r="C20" s="284"/>
      <c r="D20" s="284"/>
      <c r="E20" s="284"/>
      <c r="F20" s="284"/>
      <c r="G20" s="284"/>
      <c r="H20" s="336">
        <f>'DADOS BÁSICOS 5º ANO'!$F$17</f>
        <v>22</v>
      </c>
      <c r="I20" s="337"/>
      <c r="J20" s="336">
        <f>'DADOS BÁSICOS 5º ANO'!$F$17</f>
        <v>22</v>
      </c>
      <c r="K20" s="337"/>
      <c r="L20" s="336">
        <f>'DADOS BÁSICOS 5º ANO'!$F$17</f>
        <v>22</v>
      </c>
      <c r="M20" s="337"/>
      <c r="N20" s="336">
        <f>'DADOS BÁSICOS 5º ANO'!$F$17</f>
        <v>22</v>
      </c>
      <c r="O20" s="337"/>
      <c r="P20" s="336">
        <f>'DADOS BÁSICOS 5º ANO'!$F$17</f>
        <v>22</v>
      </c>
      <c r="Q20" s="337"/>
      <c r="R20" s="336">
        <f>'DADOS BÁSICOS 5º ANO'!$F$17</f>
        <v>22</v>
      </c>
      <c r="S20" s="337"/>
    </row>
    <row r="21" spans="1:19">
      <c r="A21" s="44" t="s">
        <v>76</v>
      </c>
      <c r="B21" s="38"/>
      <c r="C21" s="38"/>
      <c r="D21" s="38"/>
      <c r="E21" s="38"/>
      <c r="F21" s="38"/>
      <c r="G21" s="38"/>
      <c r="H21" s="39"/>
      <c r="I21" s="40"/>
      <c r="J21" s="39"/>
      <c r="K21" s="40"/>
      <c r="L21" s="39"/>
      <c r="M21" s="40"/>
      <c r="N21" s="39"/>
      <c r="O21" s="40"/>
      <c r="P21" s="39"/>
      <c r="Q21" s="40"/>
      <c r="R21" s="39"/>
      <c r="S21" s="40"/>
    </row>
    <row r="22" spans="1:19" ht="12.75" customHeight="1">
      <c r="A22" s="45">
        <v>1</v>
      </c>
      <c r="B22" s="288" t="s">
        <v>77</v>
      </c>
      <c r="C22" s="288"/>
      <c r="D22" s="288"/>
      <c r="E22" s="288"/>
      <c r="F22" s="288"/>
      <c r="G22" s="288"/>
      <c r="H22" s="46" t="s">
        <v>78</v>
      </c>
      <c r="I22" s="47" t="s">
        <v>79</v>
      </c>
      <c r="J22" s="46" t="s">
        <v>78</v>
      </c>
      <c r="K22" s="47" t="s">
        <v>79</v>
      </c>
      <c r="L22" s="46" t="s">
        <v>78</v>
      </c>
      <c r="M22" s="47" t="s">
        <v>79</v>
      </c>
      <c r="N22" s="46" t="s">
        <v>78</v>
      </c>
      <c r="O22" s="47" t="s">
        <v>79</v>
      </c>
      <c r="P22" s="46" t="s">
        <v>78</v>
      </c>
      <c r="Q22" s="47" t="s">
        <v>79</v>
      </c>
      <c r="R22" s="46" t="s">
        <v>78</v>
      </c>
      <c r="S22" s="47" t="s">
        <v>79</v>
      </c>
    </row>
    <row r="23" spans="1:19" ht="12.75" customHeight="1">
      <c r="A23" s="36" t="s">
        <v>58</v>
      </c>
      <c r="B23" s="286" t="s">
        <v>235</v>
      </c>
      <c r="C23" s="286"/>
      <c r="D23" s="286"/>
      <c r="E23" s="286"/>
      <c r="F23" s="286"/>
      <c r="G23" s="286"/>
      <c r="H23" s="48"/>
      <c r="I23" s="57">
        <f>(H$17/'DADOS BÁSICOS 5º ANO'!$G8)*'DADOS BÁSICOS 5º ANO'!$C$17</f>
        <v>1378.78</v>
      </c>
      <c r="J23" s="48"/>
      <c r="K23" s="57">
        <f>(J$17/'DADOS BÁSICOS 5º ANO'!$G9)*'DADOS BÁSICOS 5º ANO'!$C$17</f>
        <v>1378.78</v>
      </c>
      <c r="L23" s="48"/>
      <c r="M23" s="57">
        <f>(L$17/'DADOS BÁSICOS 5º ANO'!$G10)*'DADOS BÁSICOS 5º ANO'!$C$17</f>
        <v>1378.78</v>
      </c>
      <c r="N23" s="48"/>
      <c r="O23" s="57">
        <f>(N$17/'DADOS BÁSICOS 5º ANO'!$G11)*'DADOS BÁSICOS 5º ANO'!$C$17</f>
        <v>1378.78</v>
      </c>
      <c r="P23" s="48"/>
      <c r="Q23" s="57">
        <f>(P$17/'DADOS BÁSICOS 5º ANO'!$G12)*'DADOS BÁSICOS 5º ANO'!$C$17</f>
        <v>1378.78</v>
      </c>
      <c r="R23" s="48"/>
      <c r="S23" s="57">
        <f>(R$17/'DADOS BÁSICOS 5º ANO'!$G13)*'DADOS BÁSICOS 5º ANO'!$C$17</f>
        <v>1378.78</v>
      </c>
    </row>
    <row r="24" spans="1:19" ht="12.75" customHeight="1">
      <c r="A24" s="36" t="s">
        <v>60</v>
      </c>
      <c r="B24" s="335" t="s">
        <v>80</v>
      </c>
      <c r="C24" s="335"/>
      <c r="D24" s="335"/>
      <c r="E24" s="335"/>
      <c r="F24" s="335"/>
      <c r="G24" s="335"/>
      <c r="H24" s="50">
        <v>0.3</v>
      </c>
      <c r="I24" s="71">
        <f>I23*H24</f>
        <v>413.63</v>
      </c>
      <c r="J24" s="50">
        <v>0.3</v>
      </c>
      <c r="K24" s="71">
        <f>K23*J24</f>
        <v>413.63</v>
      </c>
      <c r="L24" s="50">
        <v>0.3</v>
      </c>
      <c r="M24" s="71">
        <f>M23*L24</f>
        <v>413.63</v>
      </c>
      <c r="N24" s="50">
        <v>0.3</v>
      </c>
      <c r="O24" s="71">
        <f>O23*N24</f>
        <v>413.63</v>
      </c>
      <c r="P24" s="50">
        <v>0.3</v>
      </c>
      <c r="Q24" s="71">
        <f>Q23*P24</f>
        <v>413.63</v>
      </c>
      <c r="R24" s="50">
        <v>0.3</v>
      </c>
      <c r="S24" s="71">
        <f>S23*R24</f>
        <v>413.63</v>
      </c>
    </row>
    <row r="25" spans="1:19" s="55" customFormat="1" ht="12.75" customHeight="1">
      <c r="A25" s="52" t="s">
        <v>62</v>
      </c>
      <c r="B25" s="335" t="s">
        <v>81</v>
      </c>
      <c r="C25" s="335"/>
      <c r="D25" s="335"/>
      <c r="E25" s="335"/>
      <c r="F25" s="335"/>
      <c r="G25" s="335"/>
      <c r="H25" s="53"/>
      <c r="I25" s="54"/>
      <c r="J25" s="53"/>
      <c r="K25" s="54"/>
      <c r="L25" s="53"/>
      <c r="M25" s="54"/>
      <c r="N25" s="53"/>
      <c r="O25" s="54"/>
      <c r="P25" s="53"/>
      <c r="Q25" s="54"/>
      <c r="R25" s="53"/>
      <c r="S25" s="54"/>
    </row>
    <row r="26" spans="1:19" s="55" customFormat="1" ht="12.75" customHeight="1">
      <c r="A26" s="52" t="s">
        <v>64</v>
      </c>
      <c r="B26" s="286" t="s">
        <v>82</v>
      </c>
      <c r="C26" s="286"/>
      <c r="D26" s="286"/>
      <c r="E26" s="286"/>
      <c r="F26" s="286"/>
      <c r="G26" s="286"/>
      <c r="H26" s="56"/>
      <c r="I26" s="57"/>
      <c r="J26" s="56"/>
      <c r="K26" s="57"/>
      <c r="L26" s="56"/>
      <c r="M26" s="57"/>
      <c r="N26" s="56"/>
      <c r="O26" s="57"/>
      <c r="P26" s="56"/>
      <c r="Q26" s="57"/>
      <c r="R26" s="56"/>
      <c r="S26" s="57"/>
    </row>
    <row r="27" spans="1:19" s="55" customFormat="1" ht="12.75" customHeight="1">
      <c r="A27" s="52" t="s">
        <v>66</v>
      </c>
      <c r="B27" s="286" t="s">
        <v>83</v>
      </c>
      <c r="C27" s="286"/>
      <c r="D27" s="286"/>
      <c r="E27" s="326"/>
      <c r="F27" s="326"/>
      <c r="G27" s="326"/>
      <c r="H27" s="58"/>
      <c r="I27" s="57"/>
      <c r="J27" s="58"/>
      <c r="K27" s="57"/>
      <c r="L27" s="58"/>
      <c r="M27" s="57"/>
      <c r="N27" s="58"/>
      <c r="O27" s="57"/>
      <c r="P27" s="58"/>
      <c r="Q27" s="57"/>
      <c r="R27" s="58"/>
      <c r="S27" s="57"/>
    </row>
    <row r="28" spans="1:19" s="55" customFormat="1" ht="12.75" customHeight="1">
      <c r="A28" s="59" t="s">
        <v>84</v>
      </c>
      <c r="B28" s="327" t="s">
        <v>171</v>
      </c>
      <c r="C28" s="328"/>
      <c r="D28" s="328"/>
      <c r="E28" s="329" t="s">
        <v>172</v>
      </c>
      <c r="F28" s="330"/>
      <c r="G28" s="331"/>
      <c r="H28" s="60">
        <f>'DADOS BÁSICOS 5º ANO'!$C$22</f>
        <v>1.05</v>
      </c>
      <c r="I28" s="57">
        <f>(((I23+I24)/H19)*(1.5))*H28</f>
        <v>14.12</v>
      </c>
      <c r="J28" s="60">
        <f>'DADOS BÁSICOS 5º ANO'!$C$22</f>
        <v>1.05</v>
      </c>
      <c r="K28" s="57">
        <f>(((K23+K24)/J19)*(1.5))*J28</f>
        <v>14.12</v>
      </c>
      <c r="L28" s="60">
        <f>'DADOS BÁSICOS 5º ANO'!$C$22</f>
        <v>1.05</v>
      </c>
      <c r="M28" s="57">
        <f>(((M23+M24)/L19)*(1.5))*L28</f>
        <v>14.12</v>
      </c>
      <c r="N28" s="60">
        <f>'DADOS BÁSICOS 5º ANO'!$C$22</f>
        <v>1.05</v>
      </c>
      <c r="O28" s="57">
        <f>(((O23+O24)/N19)*(1.5))*N28</f>
        <v>14.12</v>
      </c>
      <c r="P28" s="60">
        <f>'DADOS BÁSICOS 5º ANO'!$C$22</f>
        <v>1.05</v>
      </c>
      <c r="Q28" s="57">
        <f>(((Q23+Q24)/P19)*(1.5))*P28</f>
        <v>14.12</v>
      </c>
      <c r="R28" s="60">
        <f>'DADOS BÁSICOS 5º ANO'!$C$22</f>
        <v>1.05</v>
      </c>
      <c r="S28" s="57">
        <f>(((S23+S24)/R19)*(1.5))*R28</f>
        <v>14.12</v>
      </c>
    </row>
    <row r="29" spans="1:19" s="55" customFormat="1" ht="12.75" customHeight="1">
      <c r="A29" s="332" t="s">
        <v>85</v>
      </c>
      <c r="B29" s="332"/>
      <c r="C29" s="332"/>
      <c r="D29" s="332"/>
      <c r="E29" s="333"/>
      <c r="F29" s="333"/>
      <c r="G29" s="333"/>
      <c r="H29" s="61"/>
      <c r="I29" s="62">
        <f>SUM(I23:I28)</f>
        <v>1806.53</v>
      </c>
      <c r="J29" s="61"/>
      <c r="K29" s="62">
        <f>SUM(K23:K28)</f>
        <v>1806.53</v>
      </c>
      <c r="L29" s="61"/>
      <c r="M29" s="62">
        <f>SUM(M23:M28)</f>
        <v>1806.53</v>
      </c>
      <c r="N29" s="61"/>
      <c r="O29" s="62">
        <f>SUM(O23:O28)</f>
        <v>1806.53</v>
      </c>
      <c r="P29" s="61"/>
      <c r="Q29" s="62">
        <f>SUM(Q23:Q28)</f>
        <v>1806.53</v>
      </c>
      <c r="R29" s="61"/>
      <c r="S29" s="62">
        <f>SUM(S23:S28)</f>
        <v>1806.53</v>
      </c>
    </row>
    <row r="30" spans="1:19">
      <c r="A30" s="37" t="s">
        <v>86</v>
      </c>
      <c r="B30" s="63"/>
      <c r="C30" s="63"/>
      <c r="D30" s="63"/>
      <c r="E30" s="63"/>
      <c r="F30" s="63"/>
      <c r="G30" s="63"/>
      <c r="H30" s="64"/>
      <c r="I30" s="65"/>
      <c r="J30" s="64"/>
      <c r="K30" s="65"/>
      <c r="L30" s="64"/>
      <c r="M30" s="65"/>
      <c r="N30" s="64"/>
      <c r="O30" s="65"/>
      <c r="P30" s="64"/>
      <c r="Q30" s="65"/>
      <c r="R30" s="64"/>
      <c r="S30" s="65"/>
    </row>
    <row r="31" spans="1:19" ht="18" customHeight="1">
      <c r="A31" s="66" t="s">
        <v>87</v>
      </c>
      <c r="B31" s="334" t="s">
        <v>88</v>
      </c>
      <c r="C31" s="334"/>
      <c r="D31" s="334"/>
      <c r="E31" s="334"/>
      <c r="F31" s="334"/>
      <c r="G31" s="334"/>
      <c r="H31" s="67" t="s">
        <v>89</v>
      </c>
      <c r="I31" s="68" t="s">
        <v>79</v>
      </c>
      <c r="J31" s="67" t="s">
        <v>89</v>
      </c>
      <c r="K31" s="68" t="s">
        <v>79</v>
      </c>
      <c r="L31" s="67" t="s">
        <v>89</v>
      </c>
      <c r="M31" s="68" t="s">
        <v>79</v>
      </c>
      <c r="N31" s="67" t="s">
        <v>89</v>
      </c>
      <c r="O31" s="68" t="s">
        <v>79</v>
      </c>
      <c r="P31" s="67" t="s">
        <v>89</v>
      </c>
      <c r="Q31" s="68" t="s">
        <v>79</v>
      </c>
      <c r="R31" s="67" t="s">
        <v>89</v>
      </c>
      <c r="S31" s="68" t="s">
        <v>79</v>
      </c>
    </row>
    <row r="32" spans="1:19" ht="16.5" customHeight="1">
      <c r="A32" s="69" t="s">
        <v>58</v>
      </c>
      <c r="B32" s="286" t="s">
        <v>90</v>
      </c>
      <c r="C32" s="286"/>
      <c r="D32" s="286"/>
      <c r="E32" s="286"/>
      <c r="F32" s="286"/>
      <c r="G32" s="286"/>
      <c r="H32" s="70">
        <f>1/12</f>
        <v>8.3299999999999999E-2</v>
      </c>
      <c r="I32" s="71">
        <f>I$29*H$32</f>
        <v>150.47999999999999</v>
      </c>
      <c r="J32" s="70">
        <f t="shared" ref="J32" si="0">1/12</f>
        <v>8.3299999999999999E-2</v>
      </c>
      <c r="K32" s="71">
        <f t="shared" ref="K32" si="1">K$29*J$32</f>
        <v>150.47999999999999</v>
      </c>
      <c r="L32" s="70">
        <f t="shared" ref="L32" si="2">1/12</f>
        <v>8.3299999999999999E-2</v>
      </c>
      <c r="M32" s="71">
        <f t="shared" ref="M32" si="3">M$29*L$32</f>
        <v>150.47999999999999</v>
      </c>
      <c r="N32" s="70">
        <f t="shared" ref="N32" si="4">1/12</f>
        <v>8.3299999999999999E-2</v>
      </c>
      <c r="O32" s="71">
        <f t="shared" ref="O32" si="5">O$29*N$32</f>
        <v>150.47999999999999</v>
      </c>
      <c r="P32" s="70">
        <f t="shared" ref="P32" si="6">1/12</f>
        <v>8.3299999999999999E-2</v>
      </c>
      <c r="Q32" s="71">
        <f t="shared" ref="Q32" si="7">Q$29*P$32</f>
        <v>150.47999999999999</v>
      </c>
      <c r="R32" s="70">
        <f t="shared" ref="R32" si="8">1/12</f>
        <v>8.3299999999999999E-2</v>
      </c>
      <c r="S32" s="71">
        <f t="shared" ref="S32" si="9">S$29*R$32</f>
        <v>150.47999999999999</v>
      </c>
    </row>
    <row r="33" spans="1:20" ht="16.5" customHeight="1">
      <c r="A33" s="69" t="s">
        <v>60</v>
      </c>
      <c r="B33" s="286" t="s">
        <v>91</v>
      </c>
      <c r="C33" s="286"/>
      <c r="D33" s="286"/>
      <c r="E33" s="286"/>
      <c r="F33" s="286"/>
      <c r="G33" s="286"/>
      <c r="H33" s="70">
        <f>SUM(H34:H39)</f>
        <v>0.1288</v>
      </c>
      <c r="I33" s="71">
        <f>SUM(I34:I39)</f>
        <v>232.68</v>
      </c>
      <c r="J33" s="70">
        <f t="shared" ref="J33:S33" si="10">SUM(J34:J39)</f>
        <v>0.1288</v>
      </c>
      <c r="K33" s="71">
        <f t="shared" si="10"/>
        <v>232.68</v>
      </c>
      <c r="L33" s="70">
        <f t="shared" si="10"/>
        <v>0.1288</v>
      </c>
      <c r="M33" s="71">
        <f t="shared" si="10"/>
        <v>232.68</v>
      </c>
      <c r="N33" s="70">
        <f t="shared" si="10"/>
        <v>0.1288</v>
      </c>
      <c r="O33" s="71">
        <f t="shared" si="10"/>
        <v>232.68</v>
      </c>
      <c r="P33" s="70">
        <f t="shared" si="10"/>
        <v>0.1288</v>
      </c>
      <c r="Q33" s="71">
        <f t="shared" si="10"/>
        <v>232.68</v>
      </c>
      <c r="R33" s="70">
        <f t="shared" si="10"/>
        <v>0.1288</v>
      </c>
      <c r="S33" s="71">
        <f t="shared" si="10"/>
        <v>232.68</v>
      </c>
    </row>
    <row r="34" spans="1:20" ht="16.5" customHeight="1">
      <c r="A34" s="69"/>
      <c r="B34" s="69" t="s">
        <v>183</v>
      </c>
      <c r="C34" s="302" t="s">
        <v>188</v>
      </c>
      <c r="D34" s="303"/>
      <c r="E34" s="303"/>
      <c r="F34" s="303"/>
      <c r="G34" s="284"/>
      <c r="H34" s="70">
        <f>(1/3)/12</f>
        <v>2.7799999999999998E-2</v>
      </c>
      <c r="I34" s="71">
        <f t="shared" ref="I34:I39" si="11">I$29*H34</f>
        <v>50.22</v>
      </c>
      <c r="J34" s="70">
        <f t="shared" ref="J34" si="12">(1/3)/12</f>
        <v>2.7799999999999998E-2</v>
      </c>
      <c r="K34" s="71">
        <f t="shared" ref="K34:K39" si="13">K$29*J34</f>
        <v>50.22</v>
      </c>
      <c r="L34" s="70">
        <f t="shared" ref="L34" si="14">(1/3)/12</f>
        <v>2.7799999999999998E-2</v>
      </c>
      <c r="M34" s="71">
        <f t="shared" ref="M34:M39" si="15">M$29*L34</f>
        <v>50.22</v>
      </c>
      <c r="N34" s="70">
        <f t="shared" ref="N34" si="16">(1/3)/12</f>
        <v>2.7799999999999998E-2</v>
      </c>
      <c r="O34" s="71">
        <f t="shared" ref="O34:O39" si="17">O$29*N34</f>
        <v>50.22</v>
      </c>
      <c r="P34" s="70">
        <f t="shared" ref="P34" si="18">(1/3)/12</f>
        <v>2.7799999999999998E-2</v>
      </c>
      <c r="Q34" s="71">
        <f t="shared" ref="Q34:Q39" si="19">Q$29*P34</f>
        <v>50.22</v>
      </c>
      <c r="R34" s="70">
        <f t="shared" ref="R34" si="20">(1/3)/12</f>
        <v>2.7799999999999998E-2</v>
      </c>
      <c r="S34" s="71">
        <f t="shared" ref="S34:S39" si="21">S$29*R34</f>
        <v>50.22</v>
      </c>
    </row>
    <row r="35" spans="1:20" ht="16.5" customHeight="1">
      <c r="A35" s="275"/>
      <c r="B35" s="275" t="s">
        <v>184</v>
      </c>
      <c r="C35" s="410" t="s">
        <v>274</v>
      </c>
      <c r="D35" s="411"/>
      <c r="E35" s="411"/>
      <c r="F35" s="411"/>
      <c r="G35" s="412"/>
      <c r="H35" s="280">
        <f>1/12</f>
        <v>8.3299999999999999E-2</v>
      </c>
      <c r="I35" s="281">
        <f t="shared" si="11"/>
        <v>150.47999999999999</v>
      </c>
      <c r="J35" s="280">
        <f t="shared" ref="J35" si="22">1/12</f>
        <v>8.3299999999999999E-2</v>
      </c>
      <c r="K35" s="281">
        <f t="shared" si="13"/>
        <v>150.47999999999999</v>
      </c>
      <c r="L35" s="280">
        <f t="shared" ref="L35" si="23">1/12</f>
        <v>8.3299999999999999E-2</v>
      </c>
      <c r="M35" s="281">
        <f t="shared" si="15"/>
        <v>150.47999999999999</v>
      </c>
      <c r="N35" s="280">
        <f t="shared" ref="N35" si="24">1/12</f>
        <v>8.3299999999999999E-2</v>
      </c>
      <c r="O35" s="281">
        <f t="shared" si="17"/>
        <v>150.47999999999999</v>
      </c>
      <c r="P35" s="280">
        <f t="shared" ref="P35" si="25">1/12</f>
        <v>8.3299999999999999E-2</v>
      </c>
      <c r="Q35" s="281">
        <f t="shared" si="19"/>
        <v>150.47999999999999</v>
      </c>
      <c r="R35" s="280">
        <f t="shared" ref="R35" si="26">1/12</f>
        <v>8.3299999999999999E-2</v>
      </c>
      <c r="S35" s="281">
        <f t="shared" si="21"/>
        <v>150.47999999999999</v>
      </c>
    </row>
    <row r="36" spans="1:20" ht="16.5" customHeight="1">
      <c r="A36" s="72"/>
      <c r="B36" s="72" t="s">
        <v>266</v>
      </c>
      <c r="C36" s="320" t="s">
        <v>267</v>
      </c>
      <c r="D36" s="321"/>
      <c r="E36" s="321"/>
      <c r="F36" s="321"/>
      <c r="G36" s="322"/>
      <c r="H36" s="73">
        <v>0</v>
      </c>
      <c r="I36" s="74">
        <f t="shared" si="11"/>
        <v>0</v>
      </c>
      <c r="J36" s="73">
        <v>0</v>
      </c>
      <c r="K36" s="74">
        <f t="shared" si="13"/>
        <v>0</v>
      </c>
      <c r="L36" s="73">
        <v>0</v>
      </c>
      <c r="M36" s="74">
        <f t="shared" si="15"/>
        <v>0</v>
      </c>
      <c r="N36" s="73">
        <v>0</v>
      </c>
      <c r="O36" s="74">
        <f t="shared" si="17"/>
        <v>0</v>
      </c>
      <c r="P36" s="73">
        <v>0</v>
      </c>
      <c r="Q36" s="74">
        <f t="shared" si="19"/>
        <v>0</v>
      </c>
      <c r="R36" s="73">
        <v>0</v>
      </c>
      <c r="S36" s="74">
        <f t="shared" si="21"/>
        <v>0</v>
      </c>
    </row>
    <row r="37" spans="1:20" ht="16.5" customHeight="1">
      <c r="A37" s="76"/>
      <c r="B37" s="76" t="s">
        <v>185</v>
      </c>
      <c r="C37" s="323" t="s">
        <v>206</v>
      </c>
      <c r="D37" s="324"/>
      <c r="E37" s="324"/>
      <c r="F37" s="324"/>
      <c r="G37" s="325"/>
      <c r="H37" s="77">
        <f>((H11/11)/12)/H11</f>
        <v>7.6E-3</v>
      </c>
      <c r="I37" s="226">
        <f t="shared" si="11"/>
        <v>13.73</v>
      </c>
      <c r="J37" s="77">
        <f t="shared" ref="J37" si="27">((J11/11)/12)/J11</f>
        <v>7.6E-3</v>
      </c>
      <c r="K37" s="226">
        <f t="shared" si="13"/>
        <v>13.73</v>
      </c>
      <c r="L37" s="77">
        <f t="shared" ref="L37" si="28">((L11/11)/12)/L11</f>
        <v>7.6E-3</v>
      </c>
      <c r="M37" s="226">
        <f t="shared" si="15"/>
        <v>13.73</v>
      </c>
      <c r="N37" s="77">
        <f t="shared" ref="N37" si="29">((N11/11)/12)/N11</f>
        <v>7.6E-3</v>
      </c>
      <c r="O37" s="226">
        <f t="shared" si="17"/>
        <v>13.73</v>
      </c>
      <c r="P37" s="77">
        <f t="shared" ref="P37" si="30">((P11/11)/12)/P11</f>
        <v>7.6E-3</v>
      </c>
      <c r="Q37" s="226">
        <f t="shared" si="19"/>
        <v>13.73</v>
      </c>
      <c r="R37" s="77">
        <f t="shared" ref="R37" si="31">((R11/11)/12)/R11</f>
        <v>7.6E-3</v>
      </c>
      <c r="S37" s="226">
        <f t="shared" si="21"/>
        <v>13.73</v>
      </c>
      <c r="T37" s="164"/>
    </row>
    <row r="38" spans="1:20" ht="16.5" customHeight="1">
      <c r="A38" s="76"/>
      <c r="B38" s="76" t="s">
        <v>186</v>
      </c>
      <c r="C38" s="323" t="s">
        <v>207</v>
      </c>
      <c r="D38" s="324"/>
      <c r="E38" s="324"/>
      <c r="F38" s="324"/>
      <c r="G38" s="325"/>
      <c r="H38" s="77">
        <f>H37/3</f>
        <v>2.5000000000000001E-3</v>
      </c>
      <c r="I38" s="226">
        <f t="shared" si="11"/>
        <v>4.5199999999999996</v>
      </c>
      <c r="J38" s="77">
        <f t="shared" ref="J38" si="32">J37/3</f>
        <v>2.5000000000000001E-3</v>
      </c>
      <c r="K38" s="226">
        <f t="shared" si="13"/>
        <v>4.5199999999999996</v>
      </c>
      <c r="L38" s="77">
        <f t="shared" ref="L38" si="33">L37/3</f>
        <v>2.5000000000000001E-3</v>
      </c>
      <c r="M38" s="226">
        <f t="shared" si="15"/>
        <v>4.5199999999999996</v>
      </c>
      <c r="N38" s="77">
        <f t="shared" ref="N38" si="34">N37/3</f>
        <v>2.5000000000000001E-3</v>
      </c>
      <c r="O38" s="226">
        <f t="shared" si="17"/>
        <v>4.5199999999999996</v>
      </c>
      <c r="P38" s="77">
        <f t="shared" ref="P38" si="35">P37/3</f>
        <v>2.5000000000000001E-3</v>
      </c>
      <c r="Q38" s="226">
        <f t="shared" si="19"/>
        <v>4.5199999999999996</v>
      </c>
      <c r="R38" s="77">
        <f t="shared" ref="R38" si="36">R37/3</f>
        <v>2.5000000000000001E-3</v>
      </c>
      <c r="S38" s="226">
        <f t="shared" si="21"/>
        <v>4.5199999999999996</v>
      </c>
    </row>
    <row r="39" spans="1:20" ht="16.5" customHeight="1">
      <c r="A39" s="76"/>
      <c r="B39" s="76" t="s">
        <v>187</v>
      </c>
      <c r="C39" s="323" t="s">
        <v>208</v>
      </c>
      <c r="D39" s="324"/>
      <c r="E39" s="324"/>
      <c r="F39" s="324"/>
      <c r="G39" s="325"/>
      <c r="H39" s="77">
        <f>((H11/11)/12)/H11</f>
        <v>7.6E-3</v>
      </c>
      <c r="I39" s="226">
        <f t="shared" si="11"/>
        <v>13.73</v>
      </c>
      <c r="J39" s="77">
        <f t="shared" ref="J39" si="37">((J11/11)/12)/J11</f>
        <v>7.6E-3</v>
      </c>
      <c r="K39" s="226">
        <f t="shared" si="13"/>
        <v>13.73</v>
      </c>
      <c r="L39" s="77">
        <f t="shared" ref="L39" si="38">((L11/11)/12)/L11</f>
        <v>7.6E-3</v>
      </c>
      <c r="M39" s="226">
        <f t="shared" si="15"/>
        <v>13.73</v>
      </c>
      <c r="N39" s="77">
        <f t="shared" ref="N39" si="39">((N11/11)/12)/N11</f>
        <v>7.6E-3</v>
      </c>
      <c r="O39" s="226">
        <f t="shared" si="17"/>
        <v>13.73</v>
      </c>
      <c r="P39" s="77">
        <f t="shared" ref="P39" si="40">((P11/11)/12)/P11</f>
        <v>7.6E-3</v>
      </c>
      <c r="Q39" s="226">
        <f t="shared" si="19"/>
        <v>13.73</v>
      </c>
      <c r="R39" s="77">
        <f t="shared" ref="R39" si="41">((R11/11)/12)/R11</f>
        <v>7.6E-3</v>
      </c>
      <c r="S39" s="226">
        <f t="shared" si="21"/>
        <v>13.73</v>
      </c>
    </row>
    <row r="40" spans="1:20">
      <c r="A40" s="287" t="s">
        <v>85</v>
      </c>
      <c r="B40" s="287"/>
      <c r="C40" s="287"/>
      <c r="D40" s="287"/>
      <c r="E40" s="287"/>
      <c r="F40" s="287"/>
      <c r="G40" s="287"/>
      <c r="H40" s="79">
        <f>SUM(H32:H33)</f>
        <v>0.21210000000000001</v>
      </c>
      <c r="I40" s="80">
        <f>SUM(I32:I33)</f>
        <v>383.16</v>
      </c>
      <c r="J40" s="79">
        <f t="shared" ref="J40:S40" si="42">SUM(J32:J33)</f>
        <v>0.21210000000000001</v>
      </c>
      <c r="K40" s="80">
        <f t="shared" si="42"/>
        <v>383.16</v>
      </c>
      <c r="L40" s="79">
        <f t="shared" si="42"/>
        <v>0.21210000000000001</v>
      </c>
      <c r="M40" s="80">
        <f t="shared" si="42"/>
        <v>383.16</v>
      </c>
      <c r="N40" s="79">
        <f t="shared" si="42"/>
        <v>0.21210000000000001</v>
      </c>
      <c r="O40" s="80">
        <f t="shared" si="42"/>
        <v>383.16</v>
      </c>
      <c r="P40" s="79">
        <f t="shared" si="42"/>
        <v>0.21210000000000001</v>
      </c>
      <c r="Q40" s="80">
        <f t="shared" si="42"/>
        <v>383.16</v>
      </c>
      <c r="R40" s="79">
        <f t="shared" si="42"/>
        <v>0.21210000000000001</v>
      </c>
      <c r="S40" s="80">
        <f t="shared" si="42"/>
        <v>383.16</v>
      </c>
    </row>
    <row r="41" spans="1:20">
      <c r="A41" s="304" t="s">
        <v>92</v>
      </c>
      <c r="B41" s="304"/>
      <c r="C41" s="304"/>
      <c r="D41" s="304"/>
      <c r="E41" s="304"/>
      <c r="F41" s="304"/>
      <c r="G41" s="304"/>
      <c r="H41" s="81" t="s">
        <v>93</v>
      </c>
      <c r="I41" s="82">
        <f>I29</f>
        <v>1806.53</v>
      </c>
      <c r="J41" s="81" t="s">
        <v>94</v>
      </c>
      <c r="K41" s="82">
        <f>K29</f>
        <v>1806.53</v>
      </c>
      <c r="L41" s="81" t="s">
        <v>95</v>
      </c>
      <c r="M41" s="82">
        <f>M29</f>
        <v>1806.53</v>
      </c>
      <c r="N41" s="81" t="s">
        <v>96</v>
      </c>
      <c r="O41" s="82">
        <f>O29</f>
        <v>1806.53</v>
      </c>
      <c r="P41" s="81" t="s">
        <v>97</v>
      </c>
      <c r="Q41" s="82">
        <f>Q29</f>
        <v>1806.53</v>
      </c>
      <c r="R41" s="81" t="s">
        <v>98</v>
      </c>
      <c r="S41" s="82">
        <f>S29</f>
        <v>1806.53</v>
      </c>
    </row>
    <row r="42" spans="1:20">
      <c r="A42" s="304"/>
      <c r="B42" s="304"/>
      <c r="C42" s="304"/>
      <c r="D42" s="304"/>
      <c r="E42" s="304"/>
      <c r="F42" s="304"/>
      <c r="G42" s="304"/>
      <c r="H42" s="81" t="s">
        <v>99</v>
      </c>
      <c r="I42" s="82">
        <f>I40</f>
        <v>383.16</v>
      </c>
      <c r="J42" s="81" t="s">
        <v>100</v>
      </c>
      <c r="K42" s="82">
        <f>K40</f>
        <v>383.16</v>
      </c>
      <c r="L42" s="81" t="s">
        <v>101</v>
      </c>
      <c r="M42" s="82">
        <f>M40</f>
        <v>383.16</v>
      </c>
      <c r="N42" s="81" t="s">
        <v>102</v>
      </c>
      <c r="O42" s="82">
        <f>O40</f>
        <v>383.16</v>
      </c>
      <c r="P42" s="81" t="s">
        <v>103</v>
      </c>
      <c r="Q42" s="82">
        <f>Q40</f>
        <v>383.16</v>
      </c>
      <c r="R42" s="81" t="s">
        <v>104</v>
      </c>
      <c r="S42" s="82">
        <f>S40</f>
        <v>383.16</v>
      </c>
    </row>
    <row r="43" spans="1:20">
      <c r="A43" s="304"/>
      <c r="B43" s="304"/>
      <c r="C43" s="304"/>
      <c r="D43" s="304"/>
      <c r="E43" s="304"/>
      <c r="F43" s="304"/>
      <c r="G43" s="304"/>
      <c r="H43" s="81" t="s">
        <v>85</v>
      </c>
      <c r="I43" s="82">
        <f>SUM(I41:I42)</f>
        <v>2189.69</v>
      </c>
      <c r="J43" s="81" t="s">
        <v>85</v>
      </c>
      <c r="K43" s="82">
        <f>SUM(K41:K42)</f>
        <v>2189.69</v>
      </c>
      <c r="L43" s="81" t="s">
        <v>85</v>
      </c>
      <c r="M43" s="82">
        <f>SUM(M41:M42)</f>
        <v>2189.69</v>
      </c>
      <c r="N43" s="81" t="s">
        <v>85</v>
      </c>
      <c r="O43" s="82">
        <f>SUM(O41:O42)</f>
        <v>2189.69</v>
      </c>
      <c r="P43" s="81" t="s">
        <v>85</v>
      </c>
      <c r="Q43" s="82">
        <f>SUM(Q41:Q42)</f>
        <v>2189.69</v>
      </c>
      <c r="R43" s="81" t="s">
        <v>85</v>
      </c>
      <c r="S43" s="82">
        <f>SUM(S41:S42)</f>
        <v>2189.69</v>
      </c>
    </row>
    <row r="44" spans="1:20" ht="33" customHeight="1">
      <c r="A44" s="37" t="s">
        <v>105</v>
      </c>
      <c r="B44" s="63"/>
      <c r="C44" s="63"/>
      <c r="D44" s="63"/>
      <c r="E44" s="63"/>
      <c r="F44" s="63"/>
      <c r="G44" s="63"/>
      <c r="H44" s="64"/>
      <c r="I44" s="65"/>
      <c r="J44" s="64"/>
      <c r="K44" s="65"/>
      <c r="L44" s="64"/>
      <c r="M44" s="65"/>
      <c r="N44" s="64"/>
      <c r="O44" s="65"/>
      <c r="P44" s="64"/>
      <c r="Q44" s="65"/>
      <c r="R44" s="64"/>
      <c r="S44" s="65"/>
    </row>
    <row r="45" spans="1:20" ht="19.5" customHeight="1">
      <c r="A45" s="83" t="s">
        <v>106</v>
      </c>
      <c r="B45" s="288" t="s">
        <v>107</v>
      </c>
      <c r="C45" s="288"/>
      <c r="D45" s="288"/>
      <c r="E45" s="288"/>
      <c r="F45" s="288"/>
      <c r="G45" s="288"/>
      <c r="H45" s="67" t="s">
        <v>89</v>
      </c>
      <c r="I45" s="84" t="s">
        <v>79</v>
      </c>
      <c r="J45" s="67" t="s">
        <v>89</v>
      </c>
      <c r="K45" s="84" t="s">
        <v>79</v>
      </c>
      <c r="L45" s="67" t="s">
        <v>89</v>
      </c>
      <c r="M45" s="84" t="s">
        <v>79</v>
      </c>
      <c r="N45" s="67" t="s">
        <v>89</v>
      </c>
      <c r="O45" s="84" t="s">
        <v>79</v>
      </c>
      <c r="P45" s="67" t="s">
        <v>89</v>
      </c>
      <c r="Q45" s="84" t="s">
        <v>79</v>
      </c>
      <c r="R45" s="67" t="s">
        <v>89</v>
      </c>
      <c r="S45" s="84" t="s">
        <v>79</v>
      </c>
    </row>
    <row r="46" spans="1:20" ht="12.75" customHeight="1">
      <c r="A46" s="85" t="s">
        <v>58</v>
      </c>
      <c r="B46" s="286" t="s">
        <v>32</v>
      </c>
      <c r="C46" s="286"/>
      <c r="D46" s="286"/>
      <c r="E46" s="286"/>
      <c r="F46" s="286"/>
      <c r="G46" s="286"/>
      <c r="H46" s="50">
        <f>IF('DADOS BÁSICOS 5º ANO'!$B$25="LUCRO PRESUMIDO",'DADOS BÁSICOS 5º ANO'!$B$29,'DADOS BÁSICOS 5º ANO'!$C$29)</f>
        <v>0.2</v>
      </c>
      <c r="I46" s="71">
        <f>I43*H46</f>
        <v>437.94</v>
      </c>
      <c r="J46" s="50">
        <f>IF('DADOS BÁSICOS 5º ANO'!$B$25="LUCRO PRESUMIDO",'DADOS BÁSICOS 5º ANO'!$B$29,'DADOS BÁSICOS 5º ANO'!$C$29)</f>
        <v>0.2</v>
      </c>
      <c r="K46" s="71">
        <f>K43*J46</f>
        <v>437.94</v>
      </c>
      <c r="L46" s="50">
        <f>IF('DADOS BÁSICOS 5º ANO'!$B$25="LUCRO PRESUMIDO",'DADOS BÁSICOS 5º ANO'!$B$29,'DADOS BÁSICOS 5º ANO'!$C$29)</f>
        <v>0.2</v>
      </c>
      <c r="M46" s="71">
        <f>M43*L46</f>
        <v>437.94</v>
      </c>
      <c r="N46" s="50">
        <f>IF('DADOS BÁSICOS 5º ANO'!$B$25="LUCRO PRESUMIDO",'DADOS BÁSICOS 5º ANO'!$B$29,'DADOS BÁSICOS 5º ANO'!$C$29)</f>
        <v>0.2</v>
      </c>
      <c r="O46" s="71">
        <f>O43*N46</f>
        <v>437.94</v>
      </c>
      <c r="P46" s="50">
        <f>IF('DADOS BÁSICOS 5º ANO'!$B$25="LUCRO PRESUMIDO",'DADOS BÁSICOS 5º ANO'!$B$29,'DADOS BÁSICOS 5º ANO'!$C$29)</f>
        <v>0.2</v>
      </c>
      <c r="Q46" s="71">
        <f>Q43*P46</f>
        <v>437.94</v>
      </c>
      <c r="R46" s="50">
        <f>IF('DADOS BÁSICOS 5º ANO'!$B$25="LUCRO PRESUMIDO",'DADOS BÁSICOS 5º ANO'!$B$29,'DADOS BÁSICOS 5º ANO'!$C$29)</f>
        <v>0.2</v>
      </c>
      <c r="S46" s="71">
        <f>S43*R46</f>
        <v>437.94</v>
      </c>
    </row>
    <row r="47" spans="1:20" ht="12.75" customHeight="1">
      <c r="A47" s="85" t="s">
        <v>60</v>
      </c>
      <c r="B47" s="286" t="s">
        <v>108</v>
      </c>
      <c r="C47" s="286"/>
      <c r="D47" s="286"/>
      <c r="E47" s="286"/>
      <c r="F47" s="286"/>
      <c r="G47" s="286"/>
      <c r="H47" s="50">
        <f>IF('DADOS BÁSICOS 5º ANO'!$B$25="LUCRO PRESUMIDO",'DADOS BÁSICOS 5º ANO'!$B$30,'DADOS BÁSICOS 5º ANO'!$C$30)</f>
        <v>2.5000000000000001E-2</v>
      </c>
      <c r="I47" s="71">
        <f>I43*H47</f>
        <v>54.74</v>
      </c>
      <c r="J47" s="50">
        <f>IF('DADOS BÁSICOS 5º ANO'!$B$25="LUCRO PRESUMIDO",'DADOS BÁSICOS 5º ANO'!$B$30,'DADOS BÁSICOS 5º ANO'!$C$30)</f>
        <v>2.5000000000000001E-2</v>
      </c>
      <c r="K47" s="71">
        <f>K43*J47</f>
        <v>54.74</v>
      </c>
      <c r="L47" s="50">
        <f>IF('DADOS BÁSICOS 5º ANO'!$B$25="LUCRO PRESUMIDO",'DADOS BÁSICOS 5º ANO'!$B$30,'DADOS BÁSICOS 5º ANO'!$C$30)</f>
        <v>2.5000000000000001E-2</v>
      </c>
      <c r="M47" s="71">
        <f>M43*L47</f>
        <v>54.74</v>
      </c>
      <c r="N47" s="50">
        <f>IF('DADOS BÁSICOS 5º ANO'!$B$25="LUCRO PRESUMIDO",'DADOS BÁSICOS 5º ANO'!$B$30,'DADOS BÁSICOS 5º ANO'!$C$30)</f>
        <v>2.5000000000000001E-2</v>
      </c>
      <c r="O47" s="71">
        <f>O43*N47</f>
        <v>54.74</v>
      </c>
      <c r="P47" s="50">
        <f>IF('DADOS BÁSICOS 5º ANO'!$B$25="LUCRO PRESUMIDO",'DADOS BÁSICOS 5º ANO'!$B$30,'DADOS BÁSICOS 5º ANO'!$C$30)</f>
        <v>2.5000000000000001E-2</v>
      </c>
      <c r="Q47" s="71">
        <f>Q43*P47</f>
        <v>54.74</v>
      </c>
      <c r="R47" s="50">
        <f>IF('DADOS BÁSICOS 5º ANO'!$B$25="LUCRO PRESUMIDO",'DADOS BÁSICOS 5º ANO'!$B$30,'DADOS BÁSICOS 5º ANO'!$C$30)</f>
        <v>2.5000000000000001E-2</v>
      </c>
      <c r="S47" s="71">
        <f>S43*R47</f>
        <v>54.74</v>
      </c>
    </row>
    <row r="48" spans="1:20" ht="17.25" customHeight="1">
      <c r="A48" s="85" t="s">
        <v>62</v>
      </c>
      <c r="B48" s="286" t="s">
        <v>109</v>
      </c>
      <c r="C48" s="286"/>
      <c r="D48" s="286"/>
      <c r="E48" s="286"/>
      <c r="F48" s="286"/>
      <c r="G48" s="286"/>
      <c r="H48" s="50">
        <f>IF('DADOS BÁSICOS 5º ANO'!$B$25="LUCRO PRESUMIDO",'DADOS BÁSICOS 5º ANO'!$B$31,'DADOS BÁSICOS 5º ANO'!$C$31)</f>
        <v>0.03</v>
      </c>
      <c r="I48" s="71">
        <f>I43*H48</f>
        <v>65.69</v>
      </c>
      <c r="J48" s="50">
        <f>IF('DADOS BÁSICOS 5º ANO'!$B$25="LUCRO PRESUMIDO",'DADOS BÁSICOS 5º ANO'!$B$31,'DADOS BÁSICOS 5º ANO'!$C$31)</f>
        <v>0.03</v>
      </c>
      <c r="K48" s="71">
        <f>K43*J48</f>
        <v>65.69</v>
      </c>
      <c r="L48" s="50">
        <f>IF('DADOS BÁSICOS 5º ANO'!$B$25="LUCRO PRESUMIDO",'DADOS BÁSICOS 5º ANO'!$B$31,'DADOS BÁSICOS 5º ANO'!$C$31)</f>
        <v>0.03</v>
      </c>
      <c r="M48" s="71">
        <f>M43*L48</f>
        <v>65.69</v>
      </c>
      <c r="N48" s="50">
        <f>IF('DADOS BÁSICOS 5º ANO'!$B$25="LUCRO PRESUMIDO",'DADOS BÁSICOS 5º ANO'!$B$31,'DADOS BÁSICOS 5º ANO'!$C$31)</f>
        <v>0.03</v>
      </c>
      <c r="O48" s="71">
        <f>O43*N48</f>
        <v>65.69</v>
      </c>
      <c r="P48" s="50">
        <f>IF('DADOS BÁSICOS 5º ANO'!$B$25="LUCRO PRESUMIDO",'DADOS BÁSICOS 5º ANO'!$B$31,'DADOS BÁSICOS 5º ANO'!$C$31)</f>
        <v>0.03</v>
      </c>
      <c r="Q48" s="71">
        <f>Q43*P48</f>
        <v>65.69</v>
      </c>
      <c r="R48" s="50">
        <f>IF('DADOS BÁSICOS 5º ANO'!$B$25="LUCRO PRESUMIDO",'DADOS BÁSICOS 5º ANO'!$B$31,'DADOS BÁSICOS 5º ANO'!$C$31)</f>
        <v>0.03</v>
      </c>
      <c r="S48" s="71">
        <f>S43*R48</f>
        <v>65.69</v>
      </c>
    </row>
    <row r="49" spans="1:20" ht="12.75" customHeight="1">
      <c r="A49" s="85" t="s">
        <v>64</v>
      </c>
      <c r="B49" s="286" t="s">
        <v>35</v>
      </c>
      <c r="C49" s="286"/>
      <c r="D49" s="286"/>
      <c r="E49" s="286"/>
      <c r="F49" s="286"/>
      <c r="G49" s="286"/>
      <c r="H49" s="50">
        <f>IF('DADOS BÁSICOS 5º ANO'!$B$25="LUCRO PRESUMIDO",'DADOS BÁSICOS 5º ANO'!$B$32,'DADOS BÁSICOS 5º ANO'!$C$32)</f>
        <v>1.4999999999999999E-2</v>
      </c>
      <c r="I49" s="71">
        <f>I43*H49</f>
        <v>32.85</v>
      </c>
      <c r="J49" s="50">
        <f>IF('DADOS BÁSICOS 5º ANO'!$B$25="LUCRO PRESUMIDO",'DADOS BÁSICOS 5º ANO'!$B$32,'DADOS BÁSICOS 5º ANO'!$C$32)</f>
        <v>1.4999999999999999E-2</v>
      </c>
      <c r="K49" s="71">
        <f>K43*J49</f>
        <v>32.85</v>
      </c>
      <c r="L49" s="50">
        <f>IF('DADOS BÁSICOS 5º ANO'!$B$25="LUCRO PRESUMIDO",'DADOS BÁSICOS 5º ANO'!$B$32,'DADOS BÁSICOS 5º ANO'!$C$32)</f>
        <v>1.4999999999999999E-2</v>
      </c>
      <c r="M49" s="71">
        <f>M43*L49</f>
        <v>32.85</v>
      </c>
      <c r="N49" s="50">
        <f>IF('DADOS BÁSICOS 5º ANO'!$B$25="LUCRO PRESUMIDO",'DADOS BÁSICOS 5º ANO'!$B$32,'DADOS BÁSICOS 5º ANO'!$C$32)</f>
        <v>1.4999999999999999E-2</v>
      </c>
      <c r="O49" s="71">
        <f>O43*N49</f>
        <v>32.85</v>
      </c>
      <c r="P49" s="50">
        <f>IF('DADOS BÁSICOS 5º ANO'!$B$25="LUCRO PRESUMIDO",'DADOS BÁSICOS 5º ANO'!$B$32,'DADOS BÁSICOS 5º ANO'!$C$32)</f>
        <v>1.4999999999999999E-2</v>
      </c>
      <c r="Q49" s="71">
        <f>Q43*P49</f>
        <v>32.85</v>
      </c>
      <c r="R49" s="50">
        <f>IF('DADOS BÁSICOS 5º ANO'!$B$25="LUCRO PRESUMIDO",'DADOS BÁSICOS 5º ANO'!$B$32,'DADOS BÁSICOS 5º ANO'!$C$32)</f>
        <v>1.4999999999999999E-2</v>
      </c>
      <c r="S49" s="71">
        <f>S43*R49</f>
        <v>32.85</v>
      </c>
    </row>
    <row r="50" spans="1:20" ht="12.75" customHeight="1">
      <c r="A50" s="85" t="s">
        <v>66</v>
      </c>
      <c r="B50" s="286" t="s">
        <v>36</v>
      </c>
      <c r="C50" s="286"/>
      <c r="D50" s="286"/>
      <c r="E50" s="286"/>
      <c r="F50" s="286"/>
      <c r="G50" s="286"/>
      <c r="H50" s="50">
        <f>IF('DADOS BÁSICOS 5º ANO'!$B$25="LUCRO PRESUMIDO",'DADOS BÁSICOS 5º ANO'!$B$33,'DADOS BÁSICOS 5º ANO'!$C$33)</f>
        <v>0.01</v>
      </c>
      <c r="I50" s="71">
        <f>I43*H50</f>
        <v>21.9</v>
      </c>
      <c r="J50" s="50">
        <f>IF('DADOS BÁSICOS 5º ANO'!$B$25="LUCRO PRESUMIDO",'DADOS BÁSICOS 5º ANO'!$B$33,'DADOS BÁSICOS 5º ANO'!$C$33)</f>
        <v>0.01</v>
      </c>
      <c r="K50" s="71">
        <f>K43*J50</f>
        <v>21.9</v>
      </c>
      <c r="L50" s="50">
        <f>IF('DADOS BÁSICOS 5º ANO'!$B$25="LUCRO PRESUMIDO",'DADOS BÁSICOS 5º ANO'!$B$33,'DADOS BÁSICOS 5º ANO'!$C$33)</f>
        <v>0.01</v>
      </c>
      <c r="M50" s="71">
        <f>M43*L50</f>
        <v>21.9</v>
      </c>
      <c r="N50" s="50">
        <f>IF('DADOS BÁSICOS 5º ANO'!$B$25="LUCRO PRESUMIDO",'DADOS BÁSICOS 5º ANO'!$B$33,'DADOS BÁSICOS 5º ANO'!$C$33)</f>
        <v>0.01</v>
      </c>
      <c r="O50" s="71">
        <f>O43*N50</f>
        <v>21.9</v>
      </c>
      <c r="P50" s="50">
        <f>IF('DADOS BÁSICOS 5º ANO'!$B$25="LUCRO PRESUMIDO",'DADOS BÁSICOS 5º ANO'!$B$33,'DADOS BÁSICOS 5º ANO'!$C$33)</f>
        <v>0.01</v>
      </c>
      <c r="Q50" s="71">
        <f>Q43*P50</f>
        <v>21.9</v>
      </c>
      <c r="R50" s="50">
        <f>IF('DADOS BÁSICOS 5º ANO'!$B$25="LUCRO PRESUMIDO",'DADOS BÁSICOS 5º ANO'!$B$33,'DADOS BÁSICOS 5º ANO'!$C$33)</f>
        <v>0.01</v>
      </c>
      <c r="S50" s="71">
        <f>S43*R50</f>
        <v>21.9</v>
      </c>
    </row>
    <row r="51" spans="1:20" ht="12.75" customHeight="1">
      <c r="A51" s="85" t="s">
        <v>84</v>
      </c>
      <c r="B51" s="286" t="s">
        <v>37</v>
      </c>
      <c r="C51" s="286"/>
      <c r="D51" s="286"/>
      <c r="E51" s="286"/>
      <c r="F51" s="286"/>
      <c r="G51" s="286"/>
      <c r="H51" s="50">
        <f>IF('DADOS BÁSICOS 5º ANO'!$B$25="LUCRO PRESUMIDO",'DADOS BÁSICOS 5º ANO'!$B$34,'DADOS BÁSICOS 5º ANO'!$C$34)</f>
        <v>6.0000000000000001E-3</v>
      </c>
      <c r="I51" s="71">
        <f>I43*H51</f>
        <v>13.14</v>
      </c>
      <c r="J51" s="50">
        <f>IF('DADOS BÁSICOS 5º ANO'!$B$25="LUCRO PRESUMIDO",'DADOS BÁSICOS 5º ANO'!$B$34,'DADOS BÁSICOS 5º ANO'!$C$34)</f>
        <v>6.0000000000000001E-3</v>
      </c>
      <c r="K51" s="71">
        <f>K43*J51</f>
        <v>13.14</v>
      </c>
      <c r="L51" s="50">
        <f>IF('DADOS BÁSICOS 5º ANO'!$B$25="LUCRO PRESUMIDO",'DADOS BÁSICOS 5º ANO'!$B$34,'DADOS BÁSICOS 5º ANO'!$C$34)</f>
        <v>6.0000000000000001E-3</v>
      </c>
      <c r="M51" s="71">
        <f>M43*L51</f>
        <v>13.14</v>
      </c>
      <c r="N51" s="50">
        <f>IF('DADOS BÁSICOS 5º ANO'!$B$25="LUCRO PRESUMIDO",'DADOS BÁSICOS 5º ANO'!$B$34,'DADOS BÁSICOS 5º ANO'!$C$34)</f>
        <v>6.0000000000000001E-3</v>
      </c>
      <c r="O51" s="71">
        <f>O43*N51</f>
        <v>13.14</v>
      </c>
      <c r="P51" s="50">
        <f>IF('DADOS BÁSICOS 5º ANO'!$B$25="LUCRO PRESUMIDO",'DADOS BÁSICOS 5º ANO'!$B$34,'DADOS BÁSICOS 5º ANO'!$C$34)</f>
        <v>6.0000000000000001E-3</v>
      </c>
      <c r="Q51" s="71">
        <f>Q43*P51</f>
        <v>13.14</v>
      </c>
      <c r="R51" s="50">
        <f>IF('DADOS BÁSICOS 5º ANO'!$B$25="LUCRO PRESUMIDO",'DADOS BÁSICOS 5º ANO'!$B$34,'DADOS BÁSICOS 5º ANO'!$C$34)</f>
        <v>6.0000000000000001E-3</v>
      </c>
      <c r="S51" s="71">
        <f>S43*R51</f>
        <v>13.14</v>
      </c>
    </row>
    <row r="52" spans="1:20" ht="12.75" customHeight="1">
      <c r="A52" s="85" t="s">
        <v>110</v>
      </c>
      <c r="B52" s="286" t="s">
        <v>38</v>
      </c>
      <c r="C52" s="286"/>
      <c r="D52" s="286"/>
      <c r="E52" s="286"/>
      <c r="F52" s="286"/>
      <c r="G52" s="286"/>
      <c r="H52" s="50">
        <f>IF('DADOS BÁSICOS 5º ANO'!$B$25="LUCRO PRESUMIDO",'DADOS BÁSICOS 5º ANO'!$B$35,'DADOS BÁSICOS 5º ANO'!$C$35)</f>
        <v>2E-3</v>
      </c>
      <c r="I52" s="71">
        <f>I43*H52</f>
        <v>4.38</v>
      </c>
      <c r="J52" s="50">
        <f>IF('DADOS BÁSICOS 5º ANO'!$B$25="LUCRO PRESUMIDO",'DADOS BÁSICOS 5º ANO'!$B$35,'DADOS BÁSICOS 5º ANO'!$C$35)</f>
        <v>2E-3</v>
      </c>
      <c r="K52" s="71">
        <f>K43*J52</f>
        <v>4.38</v>
      </c>
      <c r="L52" s="50">
        <f>IF('DADOS BÁSICOS 5º ANO'!$B$25="LUCRO PRESUMIDO",'DADOS BÁSICOS 5º ANO'!$B$35,'DADOS BÁSICOS 5º ANO'!$C$35)</f>
        <v>2E-3</v>
      </c>
      <c r="M52" s="71">
        <f>M43*L52</f>
        <v>4.38</v>
      </c>
      <c r="N52" s="50">
        <f>IF('DADOS BÁSICOS 5º ANO'!$B$25="LUCRO PRESUMIDO",'DADOS BÁSICOS 5º ANO'!$B$35,'DADOS BÁSICOS 5º ANO'!$C$35)</f>
        <v>2E-3</v>
      </c>
      <c r="O52" s="71">
        <f>O43*N52</f>
        <v>4.38</v>
      </c>
      <c r="P52" s="50">
        <f>IF('DADOS BÁSICOS 5º ANO'!$B$25="LUCRO PRESUMIDO",'DADOS BÁSICOS 5º ANO'!$B$35,'DADOS BÁSICOS 5º ANO'!$C$35)</f>
        <v>2E-3</v>
      </c>
      <c r="Q52" s="71">
        <f>Q43*P52</f>
        <v>4.38</v>
      </c>
      <c r="R52" s="50">
        <f>IF('DADOS BÁSICOS 5º ANO'!$B$25="LUCRO PRESUMIDO",'DADOS BÁSICOS 5º ANO'!$B$35,'DADOS BÁSICOS 5º ANO'!$C$35)</f>
        <v>2E-3</v>
      </c>
      <c r="S52" s="71">
        <f>S43*R52</f>
        <v>4.38</v>
      </c>
    </row>
    <row r="53" spans="1:20" ht="12.75" customHeight="1">
      <c r="A53" s="86" t="s">
        <v>111</v>
      </c>
      <c r="B53" s="286" t="s">
        <v>39</v>
      </c>
      <c r="C53" s="286"/>
      <c r="D53" s="286"/>
      <c r="E53" s="286"/>
      <c r="F53" s="286"/>
      <c r="G53" s="286"/>
      <c r="H53" s="50">
        <f>IF('DADOS BÁSICOS 5º ANO'!$B$25="LUCRO PRESUMIDO",'DADOS BÁSICOS 5º ANO'!$B$36,'DADOS BÁSICOS 5º ANO'!$C$36)</f>
        <v>0.08</v>
      </c>
      <c r="I53" s="71">
        <f>I43*H53</f>
        <v>175.18</v>
      </c>
      <c r="J53" s="50">
        <f>IF('DADOS BÁSICOS 5º ANO'!$B$25="LUCRO PRESUMIDO",'DADOS BÁSICOS 5º ANO'!$B$36,'DADOS BÁSICOS 5º ANO'!$C$36)</f>
        <v>0.08</v>
      </c>
      <c r="K53" s="71">
        <f>K43*J53</f>
        <v>175.18</v>
      </c>
      <c r="L53" s="50">
        <f>IF('DADOS BÁSICOS 5º ANO'!$B$25="LUCRO PRESUMIDO",'DADOS BÁSICOS 5º ANO'!$B$36,'DADOS BÁSICOS 5º ANO'!$C$36)</f>
        <v>0.08</v>
      </c>
      <c r="M53" s="71">
        <f>M43*L53</f>
        <v>175.18</v>
      </c>
      <c r="N53" s="50">
        <f>IF('DADOS BÁSICOS 5º ANO'!$B$25="LUCRO PRESUMIDO",'DADOS BÁSICOS 5º ANO'!$B$36,'DADOS BÁSICOS 5º ANO'!$C$36)</f>
        <v>0.08</v>
      </c>
      <c r="O53" s="71">
        <f>O43*N53</f>
        <v>175.18</v>
      </c>
      <c r="P53" s="50">
        <f>IF('DADOS BÁSICOS 5º ANO'!$B$25="LUCRO PRESUMIDO",'DADOS BÁSICOS 5º ANO'!$B$36,'DADOS BÁSICOS 5º ANO'!$C$36)</f>
        <v>0.08</v>
      </c>
      <c r="Q53" s="71">
        <f>Q43*P53</f>
        <v>175.18</v>
      </c>
      <c r="R53" s="50">
        <f>IF('DADOS BÁSICOS 5º ANO'!$B$25="LUCRO PRESUMIDO",'DADOS BÁSICOS 5º ANO'!$B$36,'DADOS BÁSICOS 5º ANO'!$C$36)</f>
        <v>0.08</v>
      </c>
      <c r="S53" s="71">
        <f>S43*R53</f>
        <v>175.18</v>
      </c>
    </row>
    <row r="54" spans="1:20" ht="18.75" customHeight="1">
      <c r="A54" s="287" t="s">
        <v>85</v>
      </c>
      <c r="B54" s="287"/>
      <c r="C54" s="287"/>
      <c r="D54" s="287"/>
      <c r="E54" s="287"/>
      <c r="F54" s="287"/>
      <c r="G54" s="287"/>
      <c r="H54" s="87">
        <f>SUM(H46:H53)</f>
        <v>0.36799999999999999</v>
      </c>
      <c r="I54" s="80">
        <f t="shared" ref="I54:S54" si="43">SUM(I46:I53)</f>
        <v>805.82</v>
      </c>
      <c r="J54" s="87">
        <f t="shared" si="43"/>
        <v>0.36799999999999999</v>
      </c>
      <c r="K54" s="80">
        <f t="shared" si="43"/>
        <v>805.82</v>
      </c>
      <c r="L54" s="87">
        <f t="shared" si="43"/>
        <v>0.36799999999999999</v>
      </c>
      <c r="M54" s="80">
        <f t="shared" si="43"/>
        <v>805.82</v>
      </c>
      <c r="N54" s="87">
        <f t="shared" si="43"/>
        <v>0.36799999999999999</v>
      </c>
      <c r="O54" s="80">
        <f t="shared" si="43"/>
        <v>805.82</v>
      </c>
      <c r="P54" s="87">
        <f t="shared" si="43"/>
        <v>0.36799999999999999</v>
      </c>
      <c r="Q54" s="80">
        <f t="shared" si="43"/>
        <v>805.82</v>
      </c>
      <c r="R54" s="87">
        <f t="shared" si="43"/>
        <v>0.36799999999999999</v>
      </c>
      <c r="S54" s="80">
        <f t="shared" si="43"/>
        <v>805.82</v>
      </c>
    </row>
    <row r="55" spans="1:20" ht="33" customHeight="1">
      <c r="A55" s="88" t="s">
        <v>112</v>
      </c>
      <c r="B55" s="88"/>
      <c r="C55" s="88"/>
      <c r="D55" s="88"/>
      <c r="E55" s="88"/>
      <c r="F55" s="88"/>
      <c r="G55" s="88"/>
      <c r="H55" s="89"/>
      <c r="I55" s="90"/>
      <c r="J55" s="89"/>
      <c r="K55" s="90"/>
      <c r="L55" s="89"/>
      <c r="M55" s="90"/>
      <c r="N55" s="89"/>
      <c r="O55" s="90"/>
      <c r="P55" s="89"/>
      <c r="Q55" s="90"/>
      <c r="R55" s="89"/>
      <c r="S55" s="90"/>
    </row>
    <row r="56" spans="1:20" ht="17.25" customHeight="1">
      <c r="A56" s="83" t="s">
        <v>113</v>
      </c>
      <c r="B56" s="316" t="s">
        <v>114</v>
      </c>
      <c r="C56" s="316"/>
      <c r="D56" s="316"/>
      <c r="E56" s="316"/>
      <c r="F56" s="316"/>
      <c r="G56" s="316"/>
      <c r="H56" s="39"/>
      <c r="I56" s="91" t="s">
        <v>79</v>
      </c>
      <c r="J56" s="39"/>
      <c r="K56" s="91" t="s">
        <v>79</v>
      </c>
      <c r="L56" s="39"/>
      <c r="M56" s="91" t="s">
        <v>79</v>
      </c>
      <c r="N56" s="39"/>
      <c r="O56" s="91" t="s">
        <v>79</v>
      </c>
      <c r="P56" s="39"/>
      <c r="Q56" s="91" t="s">
        <v>79</v>
      </c>
      <c r="R56" s="39"/>
      <c r="S56" s="91" t="s">
        <v>79</v>
      </c>
    </row>
    <row r="57" spans="1:20">
      <c r="A57" s="69" t="s">
        <v>58</v>
      </c>
      <c r="B57" s="294" t="s">
        <v>115</v>
      </c>
      <c r="C57" s="294"/>
      <c r="D57" s="294"/>
      <c r="E57" s="294"/>
      <c r="F57" s="294"/>
      <c r="G57" s="294"/>
      <c r="H57" s="92"/>
      <c r="I57" s="317">
        <f>IF((H58*H59)-(I23*H60)&gt;0,((H58*H59)-(I23*H60)),0)</f>
        <v>115.27</v>
      </c>
      <c r="J57" s="92"/>
      <c r="K57" s="381">
        <f>IF((J58*J59)-(K23*J60)&gt;0,((J58*J59)-(K23*J60)),0)</f>
        <v>66.87</v>
      </c>
      <c r="L57" s="92"/>
      <c r="M57" s="381">
        <f>IF((L58*L59)-(M23*L60)&gt;0,((L58*L59)-(M23*L60)),0)</f>
        <v>104.27</v>
      </c>
      <c r="N57" s="92"/>
      <c r="O57" s="381">
        <f>IF((N58*N59)-(O23*N60)&gt;0,((N58*N59)-(O23*N60)),0)</f>
        <v>106.47</v>
      </c>
      <c r="P57" s="92"/>
      <c r="Q57" s="381">
        <f>IF((P58*P59)-(Q23*P60)&gt;0,((P58*P59)-(Q23*P60)),0)</f>
        <v>80.069999999999993</v>
      </c>
      <c r="R57" s="92"/>
      <c r="S57" s="381">
        <f>IF((R58*R59)-(S23*R60)&gt;0,((R58*R59)-(S23*R60)),0)</f>
        <v>106.47</v>
      </c>
    </row>
    <row r="58" spans="1:20" ht="24.75" customHeight="1">
      <c r="A58" s="69"/>
      <c r="B58" s="286" t="s">
        <v>116</v>
      </c>
      <c r="C58" s="286"/>
      <c r="D58" s="286"/>
      <c r="E58" s="286"/>
      <c r="F58" s="286"/>
      <c r="G58" s="286"/>
      <c r="H58" s="93">
        <f>'DADOS BÁSICOS 5º ANO'!P8</f>
        <v>4.5</v>
      </c>
      <c r="I58" s="318"/>
      <c r="J58" s="93">
        <f>'DADOS BÁSICOS 5º ANO'!P9</f>
        <v>3.4</v>
      </c>
      <c r="K58" s="381"/>
      <c r="L58" s="93">
        <f>'DADOS BÁSICOS 5º ANO'!P10</f>
        <v>4.25</v>
      </c>
      <c r="M58" s="381"/>
      <c r="N58" s="93">
        <f>'DADOS BÁSICOS 5º ANO'!P11</f>
        <v>4.3</v>
      </c>
      <c r="O58" s="381"/>
      <c r="P58" s="93">
        <f>'DADOS BÁSICOS 5º ANO'!P12</f>
        <v>3.7</v>
      </c>
      <c r="Q58" s="381"/>
      <c r="R58" s="93">
        <f>'DADOS BÁSICOS 5º ANO'!P13</f>
        <v>4.3</v>
      </c>
      <c r="S58" s="381"/>
    </row>
    <row r="59" spans="1:20" ht="12.75" customHeight="1">
      <c r="A59" s="94"/>
      <c r="B59" s="286" t="s">
        <v>117</v>
      </c>
      <c r="C59" s="286"/>
      <c r="D59" s="286"/>
      <c r="E59" s="286"/>
      <c r="F59" s="286"/>
      <c r="G59" s="286"/>
      <c r="H59" s="95">
        <f>'DADOS BÁSICOS 5º ANO'!$O8</f>
        <v>44</v>
      </c>
      <c r="I59" s="318"/>
      <c r="J59" s="95">
        <f>'DADOS BÁSICOS 5º ANO'!$O9</f>
        <v>44</v>
      </c>
      <c r="K59" s="381"/>
      <c r="L59" s="95">
        <f>'DADOS BÁSICOS 5º ANO'!$O10</f>
        <v>44</v>
      </c>
      <c r="M59" s="381"/>
      <c r="N59" s="95">
        <f>'DADOS BÁSICOS 5º ANO'!$O11</f>
        <v>44</v>
      </c>
      <c r="O59" s="381"/>
      <c r="P59" s="95">
        <f>'DADOS BÁSICOS 5º ANO'!$O12</f>
        <v>44</v>
      </c>
      <c r="Q59" s="381"/>
      <c r="R59" s="95">
        <f>'DADOS BÁSICOS 5º ANO'!$O13</f>
        <v>44</v>
      </c>
      <c r="S59" s="381"/>
    </row>
    <row r="60" spans="1:20" ht="12.75" customHeight="1">
      <c r="A60" s="69"/>
      <c r="B60" s="286" t="s">
        <v>118</v>
      </c>
      <c r="C60" s="286"/>
      <c r="D60" s="286"/>
      <c r="E60" s="286"/>
      <c r="F60" s="286"/>
      <c r="G60" s="286"/>
      <c r="H60" s="96">
        <v>0.06</v>
      </c>
      <c r="I60" s="319"/>
      <c r="J60" s="96">
        <v>0.06</v>
      </c>
      <c r="K60" s="381"/>
      <c r="L60" s="96">
        <v>0.06</v>
      </c>
      <c r="M60" s="381"/>
      <c r="N60" s="96">
        <v>0.06</v>
      </c>
      <c r="O60" s="381"/>
      <c r="P60" s="96">
        <v>0.06</v>
      </c>
      <c r="Q60" s="381"/>
      <c r="R60" s="96">
        <v>0.06</v>
      </c>
      <c r="S60" s="381"/>
    </row>
    <row r="61" spans="1:20" ht="15" customHeight="1">
      <c r="A61" s="69" t="s">
        <v>60</v>
      </c>
      <c r="B61" s="286" t="s">
        <v>119</v>
      </c>
      <c r="C61" s="286"/>
      <c r="D61" s="286"/>
      <c r="E61" s="286"/>
      <c r="F61" s="286"/>
      <c r="G61" s="286"/>
      <c r="H61" s="97"/>
      <c r="I61" s="313">
        <f>H62-(H62*H64)</f>
        <v>360</v>
      </c>
      <c r="J61" s="97"/>
      <c r="K61" s="380">
        <f>J62-(J62*J64)</f>
        <v>360</v>
      </c>
      <c r="L61" s="97"/>
      <c r="M61" s="380">
        <f>L62-(L62*L64)</f>
        <v>360</v>
      </c>
      <c r="N61" s="97"/>
      <c r="O61" s="380">
        <f>N62-(N62*N64)</f>
        <v>360</v>
      </c>
      <c r="P61" s="97"/>
      <c r="Q61" s="380">
        <f>P62-(P62*P64)</f>
        <v>360</v>
      </c>
      <c r="R61" s="97"/>
      <c r="S61" s="380">
        <f>R62-(R62*R64)</f>
        <v>360</v>
      </c>
    </row>
    <row r="62" spans="1:20" ht="15" customHeight="1">
      <c r="A62" s="69"/>
      <c r="B62" s="286" t="s">
        <v>256</v>
      </c>
      <c r="C62" s="286"/>
      <c r="D62" s="286"/>
      <c r="E62" s="286"/>
      <c r="F62" s="286"/>
      <c r="G62" s="286"/>
      <c r="H62" s="98">
        <f>'DADOS BÁSICOS 5º ANO'!I8</f>
        <v>450</v>
      </c>
      <c r="I62" s="314"/>
      <c r="J62" s="98">
        <f>'DADOS BÁSICOS 5º ANO'!I9</f>
        <v>450</v>
      </c>
      <c r="K62" s="380"/>
      <c r="L62" s="98">
        <f>'DADOS BÁSICOS 5º ANO'!I10</f>
        <v>450</v>
      </c>
      <c r="M62" s="380"/>
      <c r="N62" s="98">
        <f>'DADOS BÁSICOS 5º ANO'!I11</f>
        <v>450</v>
      </c>
      <c r="O62" s="380"/>
      <c r="P62" s="98">
        <f>'DADOS BÁSICOS 5º ANO'!I12</f>
        <v>450</v>
      </c>
      <c r="Q62" s="380"/>
      <c r="R62" s="98">
        <f>'DADOS BÁSICOS 5º ANO'!I13</f>
        <v>450</v>
      </c>
      <c r="S62" s="380"/>
      <c r="T62" s="99"/>
    </row>
    <row r="63" spans="1:20" ht="15" customHeight="1">
      <c r="A63" s="69"/>
      <c r="B63" s="286" t="s">
        <v>258</v>
      </c>
      <c r="C63" s="286"/>
      <c r="D63" s="286"/>
      <c r="E63" s="286"/>
      <c r="F63" s="286"/>
      <c r="G63" s="286"/>
      <c r="H63" s="100"/>
      <c r="I63" s="314"/>
      <c r="J63" s="100"/>
      <c r="K63" s="380"/>
      <c r="L63" s="100"/>
      <c r="M63" s="380"/>
      <c r="N63" s="100"/>
      <c r="O63" s="380"/>
      <c r="P63" s="100"/>
      <c r="Q63" s="380"/>
      <c r="R63" s="100"/>
      <c r="S63" s="380"/>
      <c r="T63" s="99"/>
    </row>
    <row r="64" spans="1:20" ht="15" customHeight="1">
      <c r="A64" s="69"/>
      <c r="B64" s="286" t="s">
        <v>257</v>
      </c>
      <c r="C64" s="286"/>
      <c r="D64" s="286"/>
      <c r="E64" s="286"/>
      <c r="F64" s="286"/>
      <c r="G64" s="286"/>
      <c r="H64" s="101">
        <f>'DADOS BÁSICOS 5º ANO'!$N8</f>
        <v>0.2</v>
      </c>
      <c r="I64" s="315"/>
      <c r="J64" s="101">
        <f>'DADOS BÁSICOS 5º ANO'!$N9</f>
        <v>0.2</v>
      </c>
      <c r="K64" s="380"/>
      <c r="L64" s="101">
        <f>'DADOS BÁSICOS 5º ANO'!$N10</f>
        <v>0.2</v>
      </c>
      <c r="M64" s="380"/>
      <c r="N64" s="101">
        <f>'DADOS BÁSICOS 5º ANO'!$N11</f>
        <v>0.2</v>
      </c>
      <c r="O64" s="380"/>
      <c r="P64" s="101">
        <f>'DADOS BÁSICOS 5º ANO'!$N12</f>
        <v>0.2</v>
      </c>
      <c r="Q64" s="380"/>
      <c r="R64" s="101">
        <f>'DADOS BÁSICOS 5º ANO'!$N13</f>
        <v>0.2</v>
      </c>
      <c r="S64" s="380"/>
    </row>
    <row r="65" spans="1:19" ht="17.25" customHeight="1">
      <c r="A65" s="69" t="s">
        <v>62</v>
      </c>
      <c r="B65" s="286" t="str">
        <f>'DADOS BÁSICOS 5º ANO'!$J$7</f>
        <v>Auxílio Saúde</v>
      </c>
      <c r="C65" s="286"/>
      <c r="D65" s="286"/>
      <c r="E65" s="286"/>
      <c r="F65" s="286"/>
      <c r="G65" s="286"/>
      <c r="H65" s="102"/>
      <c r="I65" s="57">
        <f>'DADOS BÁSICOS 5º ANO'!$J$8</f>
        <v>64</v>
      </c>
      <c r="J65" s="102"/>
      <c r="K65" s="57">
        <f>'DADOS BÁSICOS 5º ANO'!$J$9</f>
        <v>64</v>
      </c>
      <c r="L65" s="102"/>
      <c r="M65" s="57">
        <f>'DADOS BÁSICOS 5º ANO'!$J$9</f>
        <v>64</v>
      </c>
      <c r="N65" s="102"/>
      <c r="O65" s="57">
        <f>'DADOS BÁSICOS 5º ANO'!$J$9</f>
        <v>64</v>
      </c>
      <c r="P65" s="102"/>
      <c r="Q65" s="57">
        <f>'DADOS BÁSICOS 5º ANO'!$J$9</f>
        <v>64</v>
      </c>
      <c r="R65" s="102"/>
      <c r="S65" s="57">
        <f>'DADOS BÁSICOS 5º ANO'!$J$9</f>
        <v>64</v>
      </c>
    </row>
    <row r="66" spans="1:19" ht="16" customHeight="1">
      <c r="A66" s="69" t="s">
        <v>64</v>
      </c>
      <c r="B66" s="286" t="str">
        <f>'DADOS BÁSICOS 5º ANO'!$K$7</f>
        <v>Benefício Familiar</v>
      </c>
      <c r="C66" s="286"/>
      <c r="D66" s="286"/>
      <c r="E66" s="286"/>
      <c r="F66" s="286"/>
      <c r="G66" s="286"/>
      <c r="H66" s="103"/>
      <c r="I66" s="104">
        <f>'DADOS BÁSICOS 5º ANO'!$K$8</f>
        <v>21</v>
      </c>
      <c r="J66" s="103"/>
      <c r="K66" s="104">
        <f>'DADOS BÁSICOS 5º ANO'!$K$9</f>
        <v>21</v>
      </c>
      <c r="L66" s="103"/>
      <c r="M66" s="104">
        <f>'DADOS BÁSICOS 5º ANO'!$K$9</f>
        <v>21</v>
      </c>
      <c r="N66" s="103"/>
      <c r="O66" s="104">
        <f>'DADOS BÁSICOS 5º ANO'!$K$9</f>
        <v>21</v>
      </c>
      <c r="P66" s="103"/>
      <c r="Q66" s="104">
        <f>'DADOS BÁSICOS 5º ANO'!$K$9</f>
        <v>21</v>
      </c>
      <c r="R66" s="103"/>
      <c r="S66" s="104">
        <f>'DADOS BÁSICOS 5º ANO'!$K$9</f>
        <v>21</v>
      </c>
    </row>
    <row r="67" spans="1:19" ht="15" customHeight="1">
      <c r="A67" s="69" t="s">
        <v>66</v>
      </c>
      <c r="B67" s="286" t="str">
        <f>'DADOS BÁSICOS 5º ANO'!$L$7</f>
        <v>Fundo de Fomação Profissional</v>
      </c>
      <c r="C67" s="286"/>
      <c r="D67" s="286"/>
      <c r="E67" s="286"/>
      <c r="F67" s="286"/>
      <c r="G67" s="286"/>
      <c r="H67" s="102"/>
      <c r="I67" s="104">
        <f>'DADOS BÁSICOS 5º ANO'!$L$8</f>
        <v>21</v>
      </c>
      <c r="J67" s="102"/>
      <c r="K67" s="104">
        <f>'DADOS BÁSICOS 5º ANO'!$L$9</f>
        <v>21</v>
      </c>
      <c r="L67" s="102"/>
      <c r="M67" s="104">
        <f>'DADOS BÁSICOS 5º ANO'!$L$9</f>
        <v>21</v>
      </c>
      <c r="N67" s="102"/>
      <c r="O67" s="104">
        <f>'DADOS BÁSICOS 5º ANO'!$L$9</f>
        <v>21</v>
      </c>
      <c r="P67" s="102"/>
      <c r="Q67" s="104">
        <f>'DADOS BÁSICOS 5º ANO'!$L$9</f>
        <v>21</v>
      </c>
      <c r="R67" s="102"/>
      <c r="S67" s="104">
        <f>'DADOS BÁSICOS 5º ANO'!$L$9</f>
        <v>21</v>
      </c>
    </row>
    <row r="68" spans="1:19" ht="18" customHeight="1">
      <c r="A68" s="275" t="s">
        <v>84</v>
      </c>
      <c r="B68" s="409" t="s">
        <v>273</v>
      </c>
      <c r="C68" s="409"/>
      <c r="D68" s="409"/>
      <c r="E68" s="409"/>
      <c r="F68" s="409"/>
      <c r="G68" s="409"/>
      <c r="H68" s="278">
        <f>1/12</f>
        <v>8.3299999999999999E-2</v>
      </c>
      <c r="I68" s="279">
        <f>I61*H68</f>
        <v>29.99</v>
      </c>
      <c r="J68" s="278">
        <f t="shared" ref="J68" si="44">1/12</f>
        <v>8.3299999999999999E-2</v>
      </c>
      <c r="K68" s="279">
        <f t="shared" ref="K68" si="45">K61*J68</f>
        <v>29.99</v>
      </c>
      <c r="L68" s="278">
        <f t="shared" ref="L68" si="46">1/12</f>
        <v>8.3299999999999999E-2</v>
      </c>
      <c r="M68" s="279">
        <f t="shared" ref="M68" si="47">M61*L68</f>
        <v>29.99</v>
      </c>
      <c r="N68" s="278">
        <f t="shared" ref="N68" si="48">1/12</f>
        <v>8.3299999999999999E-2</v>
      </c>
      <c r="O68" s="279">
        <f t="shared" ref="O68" si="49">O61*N68</f>
        <v>29.99</v>
      </c>
      <c r="P68" s="278">
        <f t="shared" ref="P68" si="50">1/12</f>
        <v>8.3299999999999999E-2</v>
      </c>
      <c r="Q68" s="279">
        <f t="shared" ref="Q68" si="51">Q61*P68</f>
        <v>29.99</v>
      </c>
      <c r="R68" s="278">
        <f t="shared" ref="R68" si="52">1/12</f>
        <v>8.3299999999999999E-2</v>
      </c>
      <c r="S68" s="279">
        <f t="shared" ref="S68" si="53">S61*R68</f>
        <v>29.99</v>
      </c>
    </row>
    <row r="69" spans="1:19" ht="18" customHeight="1">
      <c r="A69" s="72" t="s">
        <v>268</v>
      </c>
      <c r="B69" s="312" t="s">
        <v>269</v>
      </c>
      <c r="C69" s="312"/>
      <c r="D69" s="312"/>
      <c r="E69" s="312"/>
      <c r="F69" s="312"/>
      <c r="G69" s="312"/>
      <c r="H69" s="105">
        <v>0</v>
      </c>
      <c r="I69" s="107">
        <f>I61*H69</f>
        <v>0</v>
      </c>
      <c r="J69" s="105">
        <v>0</v>
      </c>
      <c r="K69" s="107">
        <f t="shared" ref="K69" si="54">K61*J69</f>
        <v>0</v>
      </c>
      <c r="L69" s="105">
        <v>0</v>
      </c>
      <c r="M69" s="107">
        <f t="shared" ref="M69" si="55">M61*L69</f>
        <v>0</v>
      </c>
      <c r="N69" s="105">
        <v>0</v>
      </c>
      <c r="O69" s="107">
        <f t="shared" ref="O69" si="56">O61*N69</f>
        <v>0</v>
      </c>
      <c r="P69" s="105">
        <v>0</v>
      </c>
      <c r="Q69" s="107">
        <f t="shared" ref="Q69" si="57">Q61*P69</f>
        <v>0</v>
      </c>
      <c r="R69" s="105">
        <v>0</v>
      </c>
      <c r="S69" s="107">
        <f t="shared" ref="S69" si="58">S61*R69</f>
        <v>0</v>
      </c>
    </row>
    <row r="70" spans="1:19" ht="18" customHeight="1">
      <c r="A70" s="108" t="s">
        <v>110</v>
      </c>
      <c r="B70" s="297" t="s">
        <v>201</v>
      </c>
      <c r="C70" s="297"/>
      <c r="D70" s="297"/>
      <c r="E70" s="297"/>
      <c r="F70" s="297"/>
      <c r="G70" s="297"/>
      <c r="H70" s="109">
        <f>((H11/11)/12)/H11</f>
        <v>7.6E-3</v>
      </c>
      <c r="I70" s="225">
        <f>I61*H70</f>
        <v>2.74</v>
      </c>
      <c r="J70" s="109">
        <f t="shared" ref="J70" si="59">((J11/11)/12)/J11</f>
        <v>7.6E-3</v>
      </c>
      <c r="K70" s="225">
        <f t="shared" ref="K70" si="60">K61*J70</f>
        <v>2.74</v>
      </c>
      <c r="L70" s="109">
        <f t="shared" ref="L70" si="61">((L11/11)/12)/L11</f>
        <v>7.6E-3</v>
      </c>
      <c r="M70" s="225">
        <f t="shared" ref="M70" si="62">M61*L70</f>
        <v>2.74</v>
      </c>
      <c r="N70" s="109">
        <f t="shared" ref="N70" si="63">((N11/11)/12)/N11</f>
        <v>7.6E-3</v>
      </c>
      <c r="O70" s="225">
        <f t="shared" ref="O70" si="64">O61*N70</f>
        <v>2.74</v>
      </c>
      <c r="P70" s="109">
        <f t="shared" ref="P70" si="65">((P11/11)/12)/P11</f>
        <v>7.6E-3</v>
      </c>
      <c r="Q70" s="225">
        <f t="shared" ref="Q70" si="66">Q61*P70</f>
        <v>2.74</v>
      </c>
      <c r="R70" s="109">
        <f t="shared" ref="R70" si="67">((R11/11)/12)/R11</f>
        <v>7.6E-3</v>
      </c>
      <c r="S70" s="225">
        <f t="shared" ref="S70" si="68">S61*R70</f>
        <v>2.74</v>
      </c>
    </row>
    <row r="71" spans="1:19" ht="18" customHeight="1">
      <c r="A71" s="76" t="s">
        <v>111</v>
      </c>
      <c r="B71" s="310" t="s">
        <v>202</v>
      </c>
      <c r="C71" s="310"/>
      <c r="D71" s="310"/>
      <c r="E71" s="310"/>
      <c r="F71" s="310"/>
      <c r="G71" s="310"/>
      <c r="H71" s="111">
        <f>(H$11/11)/H$11</f>
        <v>9.0899999999999995E-2</v>
      </c>
      <c r="I71" s="226">
        <f>I65*H71</f>
        <v>5.82</v>
      </c>
      <c r="J71" s="111">
        <f t="shared" ref="J71" si="69">(J$11/11)/J$11</f>
        <v>9.0899999999999995E-2</v>
      </c>
      <c r="K71" s="226">
        <f t="shared" ref="K71:K73" si="70">K65*J71</f>
        <v>5.82</v>
      </c>
      <c r="L71" s="111">
        <f t="shared" ref="L71" si="71">(L$11/11)/L$11</f>
        <v>9.0899999999999995E-2</v>
      </c>
      <c r="M71" s="226">
        <f t="shared" ref="M71:M73" si="72">M65*L71</f>
        <v>5.82</v>
      </c>
      <c r="N71" s="111">
        <f t="shared" ref="N71" si="73">(N$11/11)/N$11</f>
        <v>9.0899999999999995E-2</v>
      </c>
      <c r="O71" s="226">
        <f t="shared" ref="O71:O73" si="74">O65*N71</f>
        <v>5.82</v>
      </c>
      <c r="P71" s="111">
        <f t="shared" ref="P71" si="75">(P$11/11)/P$11</f>
        <v>9.0899999999999995E-2</v>
      </c>
      <c r="Q71" s="226">
        <f t="shared" ref="Q71:Q73" si="76">Q65*P71</f>
        <v>5.82</v>
      </c>
      <c r="R71" s="111">
        <f t="shared" ref="R71" si="77">(R$11/11)/R$11</f>
        <v>9.0899999999999995E-2</v>
      </c>
      <c r="S71" s="226">
        <f t="shared" ref="S71:S73" si="78">S65*R71</f>
        <v>5.82</v>
      </c>
    </row>
    <row r="72" spans="1:19" ht="18" customHeight="1">
      <c r="A72" s="76" t="s">
        <v>198</v>
      </c>
      <c r="B72" s="310" t="s">
        <v>203</v>
      </c>
      <c r="C72" s="310"/>
      <c r="D72" s="310"/>
      <c r="E72" s="310"/>
      <c r="F72" s="310"/>
      <c r="G72" s="310"/>
      <c r="H72" s="111">
        <f t="shared" ref="H72:R73" si="79">(H$11/11)/H$11</f>
        <v>9.0899999999999995E-2</v>
      </c>
      <c r="I72" s="226">
        <f>I66*H72</f>
        <v>1.91</v>
      </c>
      <c r="J72" s="111">
        <f t="shared" si="79"/>
        <v>9.0899999999999995E-2</v>
      </c>
      <c r="K72" s="226">
        <f t="shared" si="70"/>
        <v>1.91</v>
      </c>
      <c r="L72" s="111">
        <f t="shared" si="79"/>
        <v>9.0899999999999995E-2</v>
      </c>
      <c r="M72" s="226">
        <f t="shared" si="72"/>
        <v>1.91</v>
      </c>
      <c r="N72" s="111">
        <f t="shared" si="79"/>
        <v>9.0899999999999995E-2</v>
      </c>
      <c r="O72" s="226">
        <f t="shared" si="74"/>
        <v>1.91</v>
      </c>
      <c r="P72" s="111">
        <f t="shared" si="79"/>
        <v>9.0899999999999995E-2</v>
      </c>
      <c r="Q72" s="226">
        <f t="shared" si="76"/>
        <v>1.91</v>
      </c>
      <c r="R72" s="111">
        <f t="shared" si="79"/>
        <v>9.0899999999999995E-2</v>
      </c>
      <c r="S72" s="226">
        <f t="shared" si="78"/>
        <v>1.91</v>
      </c>
    </row>
    <row r="73" spans="1:19" ht="18" customHeight="1">
      <c r="A73" s="76" t="s">
        <v>199</v>
      </c>
      <c r="B73" s="310" t="s">
        <v>204</v>
      </c>
      <c r="C73" s="310"/>
      <c r="D73" s="310"/>
      <c r="E73" s="310"/>
      <c r="F73" s="310"/>
      <c r="G73" s="310"/>
      <c r="H73" s="111">
        <f t="shared" si="79"/>
        <v>9.0899999999999995E-2</v>
      </c>
      <c r="I73" s="226">
        <f>I67*H73</f>
        <v>1.91</v>
      </c>
      <c r="J73" s="111">
        <f t="shared" si="79"/>
        <v>9.0899999999999995E-2</v>
      </c>
      <c r="K73" s="226">
        <f t="shared" si="70"/>
        <v>1.91</v>
      </c>
      <c r="L73" s="111">
        <f t="shared" si="79"/>
        <v>9.0899999999999995E-2</v>
      </c>
      <c r="M73" s="226">
        <f t="shared" si="72"/>
        <v>1.91</v>
      </c>
      <c r="N73" s="111">
        <f t="shared" si="79"/>
        <v>9.0899999999999995E-2</v>
      </c>
      <c r="O73" s="226">
        <f t="shared" si="74"/>
        <v>1.91</v>
      </c>
      <c r="P73" s="111">
        <f t="shared" si="79"/>
        <v>9.0899999999999995E-2</v>
      </c>
      <c r="Q73" s="226">
        <f t="shared" si="76"/>
        <v>1.91</v>
      </c>
      <c r="R73" s="111">
        <f t="shared" si="79"/>
        <v>9.0899999999999995E-2</v>
      </c>
      <c r="S73" s="226">
        <f t="shared" si="78"/>
        <v>1.91</v>
      </c>
    </row>
    <row r="74" spans="1:19" ht="19.5" customHeight="1">
      <c r="A74" s="287" t="s">
        <v>85</v>
      </c>
      <c r="B74" s="287"/>
      <c r="C74" s="287"/>
      <c r="D74" s="287"/>
      <c r="E74" s="287"/>
      <c r="F74" s="287"/>
      <c r="G74" s="287"/>
      <c r="H74" s="113"/>
      <c r="I74" s="80">
        <f>SUM(I57:I73)</f>
        <v>623.64</v>
      </c>
      <c r="J74" s="113"/>
      <c r="K74" s="80">
        <f>SUM(K57:K73)</f>
        <v>575.24</v>
      </c>
      <c r="L74" s="113"/>
      <c r="M74" s="80">
        <f>SUM(M57:M73)</f>
        <v>612.64</v>
      </c>
      <c r="N74" s="113"/>
      <c r="O74" s="80">
        <f>SUM(O57:O73)</f>
        <v>614.84</v>
      </c>
      <c r="P74" s="113"/>
      <c r="Q74" s="80">
        <f>SUM(Q57:Q73)</f>
        <v>588.44000000000005</v>
      </c>
      <c r="R74" s="113"/>
      <c r="S74" s="80">
        <f>SUM(S57:S73)</f>
        <v>614.84</v>
      </c>
    </row>
    <row r="75" spans="1:19" ht="30.75" customHeight="1">
      <c r="A75" s="37" t="s">
        <v>120</v>
      </c>
      <c r="B75" s="63"/>
      <c r="C75" s="63"/>
      <c r="D75" s="63"/>
      <c r="E75" s="63"/>
      <c r="F75" s="63"/>
      <c r="G75" s="63"/>
      <c r="H75" s="64"/>
      <c r="I75" s="65"/>
      <c r="J75" s="64"/>
      <c r="K75" s="65"/>
      <c r="L75" s="64"/>
      <c r="M75" s="65"/>
      <c r="N75" s="64"/>
      <c r="O75" s="65"/>
      <c r="P75" s="64"/>
      <c r="Q75" s="65"/>
      <c r="R75" s="64"/>
      <c r="S75" s="65"/>
    </row>
    <row r="76" spans="1:19" ht="20.25" customHeight="1">
      <c r="A76" s="114">
        <v>2</v>
      </c>
      <c r="B76" s="311" t="s">
        <v>121</v>
      </c>
      <c r="C76" s="311"/>
      <c r="D76" s="311"/>
      <c r="E76" s="311"/>
      <c r="F76" s="311"/>
      <c r="G76" s="311"/>
      <c r="H76" s="115"/>
      <c r="I76" s="116" t="s">
        <v>79</v>
      </c>
      <c r="J76" s="115"/>
      <c r="K76" s="116" t="s">
        <v>79</v>
      </c>
      <c r="L76" s="115"/>
      <c r="M76" s="116" t="s">
        <v>79</v>
      </c>
      <c r="N76" s="115"/>
      <c r="O76" s="116" t="s">
        <v>79</v>
      </c>
      <c r="P76" s="115"/>
      <c r="Q76" s="116" t="s">
        <v>79</v>
      </c>
      <c r="R76" s="115"/>
      <c r="S76" s="116" t="s">
        <v>79</v>
      </c>
    </row>
    <row r="77" spans="1:19" ht="12.75" customHeight="1">
      <c r="A77" s="69" t="s">
        <v>87</v>
      </c>
      <c r="B77" s="286" t="s">
        <v>88</v>
      </c>
      <c r="C77" s="286"/>
      <c r="D77" s="286"/>
      <c r="E77" s="286"/>
      <c r="F77" s="286"/>
      <c r="G77" s="286"/>
      <c r="H77" s="48"/>
      <c r="I77" s="71">
        <f>I40</f>
        <v>383.16</v>
      </c>
      <c r="J77" s="48"/>
      <c r="K77" s="71">
        <f>K40</f>
        <v>383.16</v>
      </c>
      <c r="L77" s="48"/>
      <c r="M77" s="71">
        <f>M40</f>
        <v>383.16</v>
      </c>
      <c r="N77" s="48"/>
      <c r="O77" s="71">
        <f>O40</f>
        <v>383.16</v>
      </c>
      <c r="P77" s="48"/>
      <c r="Q77" s="71">
        <f>Q40</f>
        <v>383.16</v>
      </c>
      <c r="R77" s="48"/>
      <c r="S77" s="71">
        <f>S40</f>
        <v>383.16</v>
      </c>
    </row>
    <row r="78" spans="1:19" ht="12.75" customHeight="1">
      <c r="A78" s="69" t="s">
        <v>106</v>
      </c>
      <c r="B78" s="286" t="s">
        <v>107</v>
      </c>
      <c r="C78" s="286"/>
      <c r="D78" s="286"/>
      <c r="E78" s="286"/>
      <c r="F78" s="286"/>
      <c r="G78" s="286"/>
      <c r="H78" s="48"/>
      <c r="I78" s="71">
        <f>I54</f>
        <v>805.82</v>
      </c>
      <c r="J78" s="48"/>
      <c r="K78" s="71">
        <f>K54</f>
        <v>805.82</v>
      </c>
      <c r="L78" s="48"/>
      <c r="M78" s="71">
        <f>M54</f>
        <v>805.82</v>
      </c>
      <c r="N78" s="48"/>
      <c r="O78" s="71">
        <f>O54</f>
        <v>805.82</v>
      </c>
      <c r="P78" s="48"/>
      <c r="Q78" s="71">
        <f>Q54</f>
        <v>805.82</v>
      </c>
      <c r="R78" s="48"/>
      <c r="S78" s="71">
        <f>S54</f>
        <v>805.82</v>
      </c>
    </row>
    <row r="79" spans="1:19" ht="12.75" customHeight="1">
      <c r="A79" s="69" t="s">
        <v>113</v>
      </c>
      <c r="B79" s="286" t="s">
        <v>114</v>
      </c>
      <c r="C79" s="286"/>
      <c r="D79" s="286"/>
      <c r="E79" s="286"/>
      <c r="F79" s="286"/>
      <c r="G79" s="286"/>
      <c r="H79" s="48"/>
      <c r="I79" s="71">
        <f>I74</f>
        <v>623.64</v>
      </c>
      <c r="J79" s="48"/>
      <c r="K79" s="71">
        <f>K74</f>
        <v>575.24</v>
      </c>
      <c r="L79" s="48"/>
      <c r="M79" s="71">
        <f>M74</f>
        <v>612.64</v>
      </c>
      <c r="N79" s="48"/>
      <c r="O79" s="71">
        <f>O74</f>
        <v>614.84</v>
      </c>
      <c r="P79" s="48"/>
      <c r="Q79" s="71">
        <f>Q74</f>
        <v>588.44000000000005</v>
      </c>
      <c r="R79" s="48"/>
      <c r="S79" s="71">
        <f>S74</f>
        <v>614.84</v>
      </c>
    </row>
    <row r="80" spans="1:19">
      <c r="A80" s="304" t="s">
        <v>85</v>
      </c>
      <c r="B80" s="304"/>
      <c r="C80" s="304"/>
      <c r="D80" s="304"/>
      <c r="E80" s="304"/>
      <c r="F80" s="304"/>
      <c r="G80" s="304"/>
      <c r="H80" s="117"/>
      <c r="I80" s="82">
        <f>SUM(I77:I79)</f>
        <v>1812.62</v>
      </c>
      <c r="J80" s="117"/>
      <c r="K80" s="82">
        <f>SUM(K77:K79)</f>
        <v>1764.22</v>
      </c>
      <c r="L80" s="117"/>
      <c r="M80" s="82">
        <f>SUM(M77:M79)</f>
        <v>1801.62</v>
      </c>
      <c r="N80" s="117"/>
      <c r="O80" s="82">
        <f>SUM(O77:O79)</f>
        <v>1803.82</v>
      </c>
      <c r="P80" s="117"/>
      <c r="Q80" s="82">
        <f>SUM(Q77:Q79)</f>
        <v>1777.42</v>
      </c>
      <c r="R80" s="117"/>
      <c r="S80" s="82">
        <f>SUM(S77:S79)</f>
        <v>1803.82</v>
      </c>
    </row>
    <row r="81" spans="1:19" ht="26.25" customHeight="1">
      <c r="A81" s="37" t="s">
        <v>122</v>
      </c>
      <c r="B81" s="118"/>
      <c r="C81" s="118"/>
      <c r="D81" s="118"/>
      <c r="E81" s="118"/>
      <c r="F81" s="118"/>
      <c r="G81" s="118"/>
      <c r="H81" s="64"/>
      <c r="I81" s="65"/>
      <c r="J81" s="64"/>
      <c r="K81" s="65"/>
      <c r="L81" s="64"/>
      <c r="M81" s="65"/>
      <c r="N81" s="64"/>
      <c r="O81" s="65"/>
      <c r="P81" s="64"/>
      <c r="Q81" s="65"/>
      <c r="R81" s="64"/>
      <c r="S81" s="65"/>
    </row>
    <row r="82" spans="1:19" ht="26.25" customHeight="1">
      <c r="A82" s="119">
        <v>3</v>
      </c>
      <c r="B82" s="305" t="s">
        <v>123</v>
      </c>
      <c r="C82" s="305"/>
      <c r="D82" s="305"/>
      <c r="E82" s="305"/>
      <c r="F82" s="305"/>
      <c r="G82" s="305"/>
      <c r="H82" s="120" t="s">
        <v>89</v>
      </c>
      <c r="I82" s="47" t="s">
        <v>79</v>
      </c>
      <c r="J82" s="46" t="s">
        <v>89</v>
      </c>
      <c r="K82" s="47" t="s">
        <v>79</v>
      </c>
      <c r="L82" s="46" t="s">
        <v>89</v>
      </c>
      <c r="M82" s="47" t="s">
        <v>79</v>
      </c>
      <c r="N82" s="46" t="s">
        <v>89</v>
      </c>
      <c r="O82" s="47" t="s">
        <v>79</v>
      </c>
      <c r="P82" s="46" t="s">
        <v>89</v>
      </c>
      <c r="Q82" s="47" t="s">
        <v>79</v>
      </c>
      <c r="R82" s="46" t="s">
        <v>89</v>
      </c>
      <c r="S82" s="47" t="s">
        <v>79</v>
      </c>
    </row>
    <row r="83" spans="1:19" ht="16.5" customHeight="1">
      <c r="A83" s="121" t="s">
        <v>58</v>
      </c>
      <c r="B83" s="306" t="s">
        <v>124</v>
      </c>
      <c r="C83" s="307"/>
      <c r="D83" s="307"/>
      <c r="E83" s="307"/>
      <c r="F83" s="307"/>
      <c r="G83" s="308"/>
      <c r="H83" s="122">
        <f>((100%/12)*'DADOS BÁSICOS 5º ANO'!$Q8)/10</f>
        <v>2.8E-3</v>
      </c>
      <c r="I83" s="123">
        <f>H83*I$43</f>
        <v>6.13</v>
      </c>
      <c r="J83" s="122">
        <f>((100%/12)*'DADOS BÁSICOS 5º ANO'!$Q8)/10</f>
        <v>2.8E-3</v>
      </c>
      <c r="K83" s="123">
        <f t="shared" ref="K83" si="80">J83*K$43</f>
        <v>6.13</v>
      </c>
      <c r="L83" s="122">
        <f>((100%/12)*'DADOS BÁSICOS 5º ANO'!$Q8)/10</f>
        <v>2.8E-3</v>
      </c>
      <c r="M83" s="123">
        <f t="shared" ref="M83" si="81">L83*M$43</f>
        <v>6.13</v>
      </c>
      <c r="N83" s="122">
        <f>((100%/12)*'DADOS BÁSICOS 5º ANO'!$Q8)/10</f>
        <v>2.8E-3</v>
      </c>
      <c r="O83" s="123">
        <f t="shared" ref="O83" si="82">N83*O$43</f>
        <v>6.13</v>
      </c>
      <c r="P83" s="122">
        <f>((100%/12)*'DADOS BÁSICOS 5º ANO'!$Q8)/10</f>
        <v>2.8E-3</v>
      </c>
      <c r="Q83" s="123">
        <f t="shared" ref="Q83" si="83">P83*Q$43</f>
        <v>6.13</v>
      </c>
      <c r="R83" s="122">
        <f>((100%/12)*'DADOS BÁSICOS 5º ANO'!$Q8)/10</f>
        <v>2.8E-3</v>
      </c>
      <c r="S83" s="123">
        <f t="shared" ref="S83" si="84">R83*S$43</f>
        <v>6.13</v>
      </c>
    </row>
    <row r="84" spans="1:19">
      <c r="A84" s="69" t="s">
        <v>60</v>
      </c>
      <c r="B84" s="294" t="s">
        <v>125</v>
      </c>
      <c r="C84" s="294"/>
      <c r="D84" s="294"/>
      <c r="E84" s="294"/>
      <c r="F84" s="294"/>
      <c r="G84" s="294"/>
      <c r="H84" s="124">
        <v>0.08</v>
      </c>
      <c r="I84" s="125">
        <f>I83*H84</f>
        <v>0.49</v>
      </c>
      <c r="J84" s="124">
        <v>0.08</v>
      </c>
      <c r="K84" s="125">
        <f t="shared" ref="K84" si="85">K83*J84</f>
        <v>0.49</v>
      </c>
      <c r="L84" s="124">
        <v>0.08</v>
      </c>
      <c r="M84" s="125">
        <f t="shared" ref="M84" si="86">M83*L84</f>
        <v>0.49</v>
      </c>
      <c r="N84" s="124">
        <v>0.08</v>
      </c>
      <c r="O84" s="125">
        <f t="shared" ref="O84" si="87">O83*N84</f>
        <v>0.49</v>
      </c>
      <c r="P84" s="124">
        <v>0.08</v>
      </c>
      <c r="Q84" s="125">
        <f t="shared" ref="Q84" si="88">Q83*P84</f>
        <v>0.49</v>
      </c>
      <c r="R84" s="124">
        <v>0.08</v>
      </c>
      <c r="S84" s="125">
        <f t="shared" ref="S84" si="89">S83*R84</f>
        <v>0.49</v>
      </c>
    </row>
    <row r="85" spans="1:19" ht="12.75" customHeight="1">
      <c r="A85" s="126" t="s">
        <v>62</v>
      </c>
      <c r="B85" s="302" t="s">
        <v>126</v>
      </c>
      <c r="C85" s="303"/>
      <c r="D85" s="303"/>
      <c r="E85" s="303"/>
      <c r="F85" s="303"/>
      <c r="G85" s="284"/>
      <c r="H85" s="127">
        <f>8%*40%*'DADOS BÁSICOS 5º ANO'!$Q8</f>
        <v>1.0800000000000001E-2</v>
      </c>
      <c r="I85" s="125">
        <f>I$43*H85</f>
        <v>23.65</v>
      </c>
      <c r="J85" s="127">
        <f>8%*40%*'DADOS BÁSICOS 5º ANO'!$Q8</f>
        <v>1.0800000000000001E-2</v>
      </c>
      <c r="K85" s="125">
        <f t="shared" ref="K85" si="90">K$43*J85</f>
        <v>23.65</v>
      </c>
      <c r="L85" s="127">
        <f>8%*40%*'DADOS BÁSICOS 5º ANO'!$Q8</f>
        <v>1.0800000000000001E-2</v>
      </c>
      <c r="M85" s="125">
        <f t="shared" ref="M85" si="91">M$43*L85</f>
        <v>23.65</v>
      </c>
      <c r="N85" s="127">
        <f>8%*40%*'DADOS BÁSICOS 5º ANO'!$Q8</f>
        <v>1.0800000000000001E-2</v>
      </c>
      <c r="O85" s="125">
        <f t="shared" ref="O85" si="92">O$43*N85</f>
        <v>23.65</v>
      </c>
      <c r="P85" s="127">
        <f>8%*40%*'DADOS BÁSICOS 5º ANO'!$Q8</f>
        <v>1.0800000000000001E-2</v>
      </c>
      <c r="Q85" s="125">
        <f t="shared" ref="Q85" si="93">Q$43*P85</f>
        <v>23.65</v>
      </c>
      <c r="R85" s="127">
        <f>8%*40%*'DADOS BÁSICOS 5º ANO'!$Q8</f>
        <v>1.0800000000000001E-2</v>
      </c>
      <c r="S85" s="125">
        <f t="shared" ref="S85" si="94">S$43*R85</f>
        <v>23.65</v>
      </c>
    </row>
    <row r="86" spans="1:19" ht="17.25" customHeight="1">
      <c r="A86" s="128" t="s">
        <v>64</v>
      </c>
      <c r="B86" s="309" t="s">
        <v>127</v>
      </c>
      <c r="C86" s="309"/>
      <c r="D86" s="309"/>
      <c r="E86" s="309"/>
      <c r="F86" s="309"/>
      <c r="G86" s="309"/>
      <c r="H86" s="247">
        <f>((7/30)/12)/10</f>
        <v>1.944E-3</v>
      </c>
      <c r="I86" s="248">
        <f>H86*I$43</f>
        <v>4.26</v>
      </c>
      <c r="J86" s="247">
        <f t="shared" ref="J86" si="95">((7/30)/12)/10</f>
        <v>1.944E-3</v>
      </c>
      <c r="K86" s="248">
        <f t="shared" ref="K86" si="96">J86*K$43</f>
        <v>4.26</v>
      </c>
      <c r="L86" s="247">
        <f t="shared" ref="L86" si="97">((7/30)/12)/10</f>
        <v>1.944E-3</v>
      </c>
      <c r="M86" s="248">
        <f t="shared" ref="M86" si="98">L86*M$43</f>
        <v>4.26</v>
      </c>
      <c r="N86" s="247">
        <f t="shared" ref="N86" si="99">((7/30)/12)/10</f>
        <v>1.944E-3</v>
      </c>
      <c r="O86" s="248">
        <f t="shared" ref="O86" si="100">N86*O$43</f>
        <v>4.26</v>
      </c>
      <c r="P86" s="247">
        <f t="shared" ref="P86" si="101">((7/30)/12)/10</f>
        <v>1.944E-3</v>
      </c>
      <c r="Q86" s="248">
        <f t="shared" ref="Q86" si="102">P86*Q$43</f>
        <v>4.26</v>
      </c>
      <c r="R86" s="247">
        <f t="shared" ref="R86" si="103">((7/30)/12)/10</f>
        <v>1.944E-3</v>
      </c>
      <c r="S86" s="248">
        <f t="shared" ref="S86" si="104">R86*S$43</f>
        <v>4.26</v>
      </c>
    </row>
    <row r="87" spans="1:19">
      <c r="A87" s="69" t="s">
        <v>66</v>
      </c>
      <c r="B87" s="294" t="s">
        <v>128</v>
      </c>
      <c r="C87" s="294"/>
      <c r="D87" s="294"/>
      <c r="E87" s="294"/>
      <c r="F87" s="294"/>
      <c r="G87" s="294"/>
      <c r="H87" s="124">
        <f>H54</f>
        <v>0.36799999999999999</v>
      </c>
      <c r="I87" s="131">
        <f>H87*I86</f>
        <v>1.57</v>
      </c>
      <c r="J87" s="124">
        <f t="shared" ref="J87" si="105">J54</f>
        <v>0.36799999999999999</v>
      </c>
      <c r="K87" s="131">
        <f t="shared" ref="K87" si="106">J87*K86</f>
        <v>1.57</v>
      </c>
      <c r="L87" s="124">
        <f t="shared" ref="L87" si="107">L54</f>
        <v>0.36799999999999999</v>
      </c>
      <c r="M87" s="131">
        <f t="shared" ref="M87" si="108">L87*M86</f>
        <v>1.57</v>
      </c>
      <c r="N87" s="124">
        <f t="shared" ref="N87" si="109">N54</f>
        <v>0.36799999999999999</v>
      </c>
      <c r="O87" s="131">
        <f t="shared" ref="O87" si="110">N87*O86</f>
        <v>1.57</v>
      </c>
      <c r="P87" s="124">
        <f t="shared" ref="P87" si="111">P54</f>
        <v>0.36799999999999999</v>
      </c>
      <c r="Q87" s="131">
        <f t="shared" ref="Q87" si="112">P87*Q86</f>
        <v>1.57</v>
      </c>
      <c r="R87" s="124">
        <f t="shared" ref="R87" si="113">R54</f>
        <v>0.36799999999999999</v>
      </c>
      <c r="S87" s="131">
        <f t="shared" ref="S87" si="114">R87*S86</f>
        <v>1.57</v>
      </c>
    </row>
    <row r="88" spans="1:19" ht="12.75" customHeight="1">
      <c r="A88" s="126" t="s">
        <v>84</v>
      </c>
      <c r="B88" s="302" t="s">
        <v>129</v>
      </c>
      <c r="C88" s="303"/>
      <c r="D88" s="303"/>
      <c r="E88" s="303"/>
      <c r="F88" s="303"/>
      <c r="G88" s="284"/>
      <c r="H88" s="127">
        <f>8%*40%*'DADOS BÁSICOS 5º ANO'!$R8</f>
        <v>1.0800000000000001E-2</v>
      </c>
      <c r="I88" s="125">
        <f>I43*H88</f>
        <v>23.65</v>
      </c>
      <c r="J88" s="127">
        <f>8%*40%*'DADOS BÁSICOS 5º ANO'!$R8</f>
        <v>1.0800000000000001E-2</v>
      </c>
      <c r="K88" s="125">
        <f t="shared" ref="K88" si="115">K43*J88</f>
        <v>23.65</v>
      </c>
      <c r="L88" s="127">
        <f>8%*40%*'DADOS BÁSICOS 5º ANO'!$R8</f>
        <v>1.0800000000000001E-2</v>
      </c>
      <c r="M88" s="125">
        <f t="shared" ref="M88" si="116">M43*L88</f>
        <v>23.65</v>
      </c>
      <c r="N88" s="127">
        <f>8%*40%*'DADOS BÁSICOS 5º ANO'!$R8</f>
        <v>1.0800000000000001E-2</v>
      </c>
      <c r="O88" s="125">
        <f t="shared" ref="O88" si="117">O43*N88</f>
        <v>23.65</v>
      </c>
      <c r="P88" s="127">
        <f>8%*40%*'DADOS BÁSICOS 5º ANO'!$R8</f>
        <v>1.0800000000000001E-2</v>
      </c>
      <c r="Q88" s="125">
        <f t="shared" ref="Q88" si="118">Q43*P88</f>
        <v>23.65</v>
      </c>
      <c r="R88" s="127">
        <f>8%*40%*'DADOS BÁSICOS 5º ANO'!$R8</f>
        <v>1.0800000000000001E-2</v>
      </c>
      <c r="S88" s="125">
        <f t="shared" ref="S88" si="119">S43*R88</f>
        <v>23.65</v>
      </c>
    </row>
    <row r="89" spans="1:19">
      <c r="A89" s="287" t="s">
        <v>85</v>
      </c>
      <c r="B89" s="287"/>
      <c r="C89" s="287"/>
      <c r="D89" s="287"/>
      <c r="E89" s="287"/>
      <c r="F89" s="287"/>
      <c r="G89" s="287"/>
      <c r="H89" s="113"/>
      <c r="I89" s="80">
        <f>SUM(I83:I88)</f>
        <v>59.75</v>
      </c>
      <c r="J89" s="113"/>
      <c r="K89" s="80">
        <f>SUM(K83:K88)</f>
        <v>59.75</v>
      </c>
      <c r="L89" s="113"/>
      <c r="M89" s="80">
        <f>SUM(M83:M88)</f>
        <v>59.75</v>
      </c>
      <c r="N89" s="113"/>
      <c r="O89" s="80">
        <f>SUM(O83:O88)</f>
        <v>59.75</v>
      </c>
      <c r="P89" s="113"/>
      <c r="Q89" s="80">
        <f>SUM(Q83:Q88)</f>
        <v>59.75</v>
      </c>
      <c r="R89" s="113"/>
      <c r="S89" s="80">
        <f>SUM(S83:S88)</f>
        <v>59.75</v>
      </c>
    </row>
    <row r="90" spans="1:19">
      <c r="A90" s="304" t="s">
        <v>130</v>
      </c>
      <c r="B90" s="304"/>
      <c r="C90" s="304"/>
      <c r="D90" s="304"/>
      <c r="E90" s="304"/>
      <c r="F90" s="304"/>
      <c r="G90" s="304"/>
      <c r="H90" s="132" t="s">
        <v>93</v>
      </c>
      <c r="I90" s="133">
        <f>I29</f>
        <v>1806.53</v>
      </c>
      <c r="J90" s="132" t="s">
        <v>93</v>
      </c>
      <c r="K90" s="133">
        <f>K29</f>
        <v>1806.53</v>
      </c>
      <c r="L90" s="132" t="s">
        <v>93</v>
      </c>
      <c r="M90" s="133">
        <f>M29</f>
        <v>1806.53</v>
      </c>
      <c r="N90" s="132" t="s">
        <v>93</v>
      </c>
      <c r="O90" s="133">
        <f>O29</f>
        <v>1806.53</v>
      </c>
      <c r="P90" s="132" t="s">
        <v>93</v>
      </c>
      <c r="Q90" s="133">
        <f>Q29</f>
        <v>1806.53</v>
      </c>
      <c r="R90" s="132" t="s">
        <v>93</v>
      </c>
      <c r="S90" s="133">
        <f>S29</f>
        <v>1806.53</v>
      </c>
    </row>
    <row r="91" spans="1:19">
      <c r="A91" s="304"/>
      <c r="B91" s="304"/>
      <c r="C91" s="304"/>
      <c r="D91" s="304"/>
      <c r="E91" s="304"/>
      <c r="F91" s="304"/>
      <c r="G91" s="304"/>
      <c r="H91" s="132" t="s">
        <v>94</v>
      </c>
      <c r="I91" s="133">
        <f>I80</f>
        <v>1812.62</v>
      </c>
      <c r="J91" s="132" t="s">
        <v>94</v>
      </c>
      <c r="K91" s="133">
        <f>K80</f>
        <v>1764.22</v>
      </c>
      <c r="L91" s="132" t="s">
        <v>94</v>
      </c>
      <c r="M91" s="133">
        <f>M80</f>
        <v>1801.62</v>
      </c>
      <c r="N91" s="132" t="s">
        <v>94</v>
      </c>
      <c r="O91" s="133">
        <f>O80</f>
        <v>1803.82</v>
      </c>
      <c r="P91" s="132" t="s">
        <v>94</v>
      </c>
      <c r="Q91" s="133">
        <f>Q80</f>
        <v>1777.42</v>
      </c>
      <c r="R91" s="132" t="s">
        <v>94</v>
      </c>
      <c r="S91" s="133">
        <f>S80</f>
        <v>1803.82</v>
      </c>
    </row>
    <row r="92" spans="1:19">
      <c r="A92" s="304"/>
      <c r="B92" s="304"/>
      <c r="C92" s="304"/>
      <c r="D92" s="304"/>
      <c r="E92" s="304"/>
      <c r="F92" s="304"/>
      <c r="G92" s="304"/>
      <c r="H92" s="132" t="s">
        <v>95</v>
      </c>
      <c r="I92" s="133">
        <f>I89</f>
        <v>59.75</v>
      </c>
      <c r="J92" s="132" t="s">
        <v>95</v>
      </c>
      <c r="K92" s="133">
        <f>K89</f>
        <v>59.75</v>
      </c>
      <c r="L92" s="132" t="s">
        <v>95</v>
      </c>
      <c r="M92" s="133">
        <f>M89</f>
        <v>59.75</v>
      </c>
      <c r="N92" s="132" t="s">
        <v>95</v>
      </c>
      <c r="O92" s="133">
        <f>O89</f>
        <v>59.75</v>
      </c>
      <c r="P92" s="132" t="s">
        <v>95</v>
      </c>
      <c r="Q92" s="133">
        <f>Q89</f>
        <v>59.75</v>
      </c>
      <c r="R92" s="132" t="s">
        <v>95</v>
      </c>
      <c r="S92" s="133">
        <f>S89</f>
        <v>59.75</v>
      </c>
    </row>
    <row r="93" spans="1:19">
      <c r="A93" s="304"/>
      <c r="B93" s="304"/>
      <c r="C93" s="304"/>
      <c r="D93" s="304"/>
      <c r="E93" s="304"/>
      <c r="F93" s="304"/>
      <c r="G93" s="304"/>
      <c r="H93" s="132" t="s">
        <v>85</v>
      </c>
      <c r="I93" s="133">
        <f>SUM(I90:I92)</f>
        <v>3678.9</v>
      </c>
      <c r="J93" s="132" t="s">
        <v>85</v>
      </c>
      <c r="K93" s="133">
        <f>SUM(K90:K92)</f>
        <v>3630.5</v>
      </c>
      <c r="L93" s="132" t="s">
        <v>85</v>
      </c>
      <c r="M93" s="133">
        <f>SUM(M90:M92)</f>
        <v>3667.9</v>
      </c>
      <c r="N93" s="132" t="s">
        <v>85</v>
      </c>
      <c r="O93" s="133">
        <f>SUM(O90:O92)</f>
        <v>3670.1</v>
      </c>
      <c r="P93" s="132" t="s">
        <v>85</v>
      </c>
      <c r="Q93" s="133">
        <f>SUM(Q90:Q92)</f>
        <v>3643.7</v>
      </c>
      <c r="R93" s="132" t="s">
        <v>85</v>
      </c>
      <c r="S93" s="133">
        <f>SUM(S90:S92)</f>
        <v>3670.1</v>
      </c>
    </row>
    <row r="94" spans="1:19" ht="26.25" customHeight="1">
      <c r="A94" s="37" t="s">
        <v>131</v>
      </c>
      <c r="B94" s="134"/>
      <c r="C94" s="134"/>
      <c r="D94" s="134"/>
      <c r="E94" s="134"/>
      <c r="F94" s="134"/>
      <c r="G94" s="134"/>
      <c r="H94" s="135"/>
      <c r="I94" s="136"/>
      <c r="J94" s="135"/>
      <c r="K94" s="136"/>
      <c r="L94" s="135"/>
      <c r="M94" s="136"/>
      <c r="N94" s="135"/>
      <c r="O94" s="136"/>
      <c r="P94" s="135"/>
      <c r="Q94" s="136"/>
      <c r="R94" s="135"/>
      <c r="S94" s="136"/>
    </row>
    <row r="95" spans="1:19" s="137" customFormat="1" ht="63.75" customHeight="1">
      <c r="A95" s="138" t="s">
        <v>132</v>
      </c>
      <c r="B95" s="63" t="s">
        <v>133</v>
      </c>
      <c r="C95" s="63"/>
      <c r="D95" s="63"/>
      <c r="E95" s="63"/>
      <c r="F95" s="63"/>
      <c r="G95" s="63"/>
      <c r="H95" s="67" t="s">
        <v>134</v>
      </c>
      <c r="I95" s="68" t="s">
        <v>79</v>
      </c>
      <c r="J95" s="67" t="s">
        <v>134</v>
      </c>
      <c r="K95" s="68" t="s">
        <v>79</v>
      </c>
      <c r="L95" s="67" t="s">
        <v>134</v>
      </c>
      <c r="M95" s="68" t="s">
        <v>79</v>
      </c>
      <c r="N95" s="67" t="s">
        <v>134</v>
      </c>
      <c r="O95" s="68" t="s">
        <v>79</v>
      </c>
      <c r="P95" s="67" t="s">
        <v>134</v>
      </c>
      <c r="Q95" s="68" t="s">
        <v>79</v>
      </c>
      <c r="R95" s="67" t="s">
        <v>134</v>
      </c>
      <c r="S95" s="68" t="s">
        <v>79</v>
      </c>
    </row>
    <row r="96" spans="1:19" ht="16.5" customHeight="1">
      <c r="A96" s="69" t="s">
        <v>58</v>
      </c>
      <c r="B96" s="301" t="s">
        <v>135</v>
      </c>
      <c r="C96" s="301"/>
      <c r="D96" s="301"/>
      <c r="E96" s="301"/>
      <c r="F96" s="301"/>
      <c r="G96" s="301"/>
      <c r="H96" s="139">
        <f>'DADOS BÁSICOS 5º ANO'!$H$59</f>
        <v>4.8734000000000002</v>
      </c>
      <c r="I96" s="71">
        <f>SUM(I97:I104)</f>
        <v>49.81</v>
      </c>
      <c r="J96" s="139">
        <f>'DADOS BÁSICOS 5º ANO'!$H$59</f>
        <v>4.8734000000000002</v>
      </c>
      <c r="K96" s="71">
        <f t="shared" ref="K96" si="120">SUM(K97:K104)</f>
        <v>49.15</v>
      </c>
      <c r="L96" s="139">
        <f>'DADOS BÁSICOS 5º ANO'!$H$59</f>
        <v>4.8734000000000002</v>
      </c>
      <c r="M96" s="71">
        <f t="shared" ref="M96" si="121">SUM(M97:M104)</f>
        <v>49.65</v>
      </c>
      <c r="N96" s="139">
        <f>'DADOS BÁSICOS 5º ANO'!$H$59</f>
        <v>4.8734000000000002</v>
      </c>
      <c r="O96" s="71">
        <f t="shared" ref="O96" si="122">SUM(O97:O104)</f>
        <v>49.67</v>
      </c>
      <c r="P96" s="139">
        <f>'DADOS BÁSICOS 5º ANO'!$H$59</f>
        <v>4.8734000000000002</v>
      </c>
      <c r="Q96" s="71">
        <f t="shared" ref="Q96" si="123">SUM(Q97:Q104)</f>
        <v>49.32</v>
      </c>
      <c r="R96" s="139">
        <f>'DADOS BÁSICOS 5º ANO'!$H$59</f>
        <v>4.8734000000000002</v>
      </c>
      <c r="S96" s="71">
        <f t="shared" ref="S96" si="124">SUM(S97:S104)</f>
        <v>49.67</v>
      </c>
    </row>
    <row r="97" spans="1:19" ht="16.5" customHeight="1">
      <c r="A97" s="140" t="s">
        <v>219</v>
      </c>
      <c r="B97" s="300" t="s">
        <v>211</v>
      </c>
      <c r="C97" s="300"/>
      <c r="D97" s="300"/>
      <c r="E97" s="300"/>
      <c r="F97" s="300"/>
      <c r="G97" s="300"/>
      <c r="H97" s="139">
        <f>'DADOS BÁSICOS 5º ANO'!$H$60</f>
        <v>1</v>
      </c>
      <c r="I97" s="141">
        <f>((I$93/30)*H97)/H$10</f>
        <v>10.220000000000001</v>
      </c>
      <c r="J97" s="139">
        <f>'DADOS BÁSICOS 5º ANO'!$H$60</f>
        <v>1</v>
      </c>
      <c r="K97" s="141">
        <f>((K$93/30)*J97)/J$10</f>
        <v>10.08</v>
      </c>
      <c r="L97" s="139">
        <f>'DADOS BÁSICOS 5º ANO'!$H$60</f>
        <v>1</v>
      </c>
      <c r="M97" s="141">
        <f>((M$93/30)*L97)/L$10</f>
        <v>10.19</v>
      </c>
      <c r="N97" s="139">
        <f>'DADOS BÁSICOS 5º ANO'!$H$60</f>
        <v>1</v>
      </c>
      <c r="O97" s="141">
        <f>((O$93/30)*N97)/N$10</f>
        <v>10.19</v>
      </c>
      <c r="P97" s="139">
        <f>'DADOS BÁSICOS 5º ANO'!$H$60</f>
        <v>1</v>
      </c>
      <c r="Q97" s="141">
        <f>((Q$93/30)*P97)/P$10</f>
        <v>10.119999999999999</v>
      </c>
      <c r="R97" s="139">
        <f>'DADOS BÁSICOS 5º ANO'!$H$60</f>
        <v>1</v>
      </c>
      <c r="S97" s="141">
        <f>((S$93/30)*R97)/R$10</f>
        <v>10.19</v>
      </c>
    </row>
    <row r="98" spans="1:19" ht="16.5" customHeight="1">
      <c r="A98" s="140" t="s">
        <v>221</v>
      </c>
      <c r="B98" s="300" t="s">
        <v>212</v>
      </c>
      <c r="C98" s="300"/>
      <c r="D98" s="300"/>
      <c r="E98" s="300"/>
      <c r="F98" s="300"/>
      <c r="G98" s="300"/>
      <c r="H98" s="139">
        <f>'DADOS BÁSICOS 5º ANO'!$H$61</f>
        <v>3.4929999999999999</v>
      </c>
      <c r="I98" s="141">
        <f>((I$93/30)*H98)/H$10</f>
        <v>35.700000000000003</v>
      </c>
      <c r="J98" s="139">
        <f>'DADOS BÁSICOS 5º ANO'!$H$61</f>
        <v>3.4929999999999999</v>
      </c>
      <c r="K98" s="141">
        <f>((K$93/30)*J98)/J$10</f>
        <v>35.229999999999997</v>
      </c>
      <c r="L98" s="139">
        <f>'DADOS BÁSICOS 5º ANO'!$H$61</f>
        <v>3.4929999999999999</v>
      </c>
      <c r="M98" s="141">
        <f>((M$93/30)*L98)/L$10</f>
        <v>35.590000000000003</v>
      </c>
      <c r="N98" s="139">
        <f>'DADOS BÁSICOS 5º ANO'!$H$61</f>
        <v>3.4929999999999999</v>
      </c>
      <c r="O98" s="141">
        <f>((O$93/30)*N98)/N$10</f>
        <v>35.61</v>
      </c>
      <c r="P98" s="139">
        <f>'DADOS BÁSICOS 5º ANO'!$H$61</f>
        <v>3.4929999999999999</v>
      </c>
      <c r="Q98" s="141">
        <f>((Q$93/30)*P98)/P$10</f>
        <v>35.35</v>
      </c>
      <c r="R98" s="139">
        <f>'DADOS BÁSICOS 5º ANO'!$H$61</f>
        <v>3.4929999999999999</v>
      </c>
      <c r="S98" s="141">
        <f>((S$93/30)*R98)/R$10</f>
        <v>35.61</v>
      </c>
    </row>
    <row r="99" spans="1:19" ht="16.5" customHeight="1">
      <c r="A99" s="140" t="s">
        <v>222</v>
      </c>
      <c r="B99" s="300" t="s">
        <v>213</v>
      </c>
      <c r="C99" s="300"/>
      <c r="D99" s="300"/>
      <c r="E99" s="300"/>
      <c r="F99" s="300"/>
      <c r="G99" s="300"/>
      <c r="H99" s="139">
        <f>'DADOS BÁSICOS 5º ANO'!$H$62</f>
        <v>0.26879999999999998</v>
      </c>
      <c r="I99" s="141">
        <f t="shared" ref="I99:I108" si="125">(I$93/30)*(H99/H$10)</f>
        <v>2.75</v>
      </c>
      <c r="J99" s="139">
        <f>'DADOS BÁSICOS 5º ANO'!$H$62</f>
        <v>0.26879999999999998</v>
      </c>
      <c r="K99" s="141">
        <f t="shared" ref="K99:K108" si="126">(K$93/30)*(J99/J$10)</f>
        <v>2.71</v>
      </c>
      <c r="L99" s="139">
        <f>'DADOS BÁSICOS 5º ANO'!$H$62</f>
        <v>0.26879999999999998</v>
      </c>
      <c r="M99" s="141">
        <f t="shared" ref="M99:M108" si="127">(M$93/30)*(L99/L$10)</f>
        <v>2.74</v>
      </c>
      <c r="N99" s="139">
        <f>'DADOS BÁSICOS 5º ANO'!$H$62</f>
        <v>0.26879999999999998</v>
      </c>
      <c r="O99" s="141">
        <f t="shared" ref="O99:O108" si="128">(O$93/30)*(N99/N$10)</f>
        <v>2.74</v>
      </c>
      <c r="P99" s="139">
        <f>'DADOS BÁSICOS 5º ANO'!$H$62</f>
        <v>0.26879999999999998</v>
      </c>
      <c r="Q99" s="141">
        <f t="shared" ref="Q99:Q108" si="129">(Q$93/30)*(P99/P$10)</f>
        <v>2.72</v>
      </c>
      <c r="R99" s="139">
        <f>'DADOS BÁSICOS 5º ANO'!$H$62</f>
        <v>0.26879999999999998</v>
      </c>
      <c r="S99" s="141">
        <f t="shared" ref="S99:S108" si="130">(S$93/30)*(R99/R$10)</f>
        <v>2.74</v>
      </c>
    </row>
    <row r="100" spans="1:19" ht="16.5" customHeight="1">
      <c r="A100" s="140" t="s">
        <v>228</v>
      </c>
      <c r="B100" s="300" t="s">
        <v>214</v>
      </c>
      <c r="C100" s="300"/>
      <c r="D100" s="300"/>
      <c r="E100" s="300"/>
      <c r="F100" s="300"/>
      <c r="G100" s="300"/>
      <c r="H100" s="139">
        <f>'DADOS BÁSICOS 5º ANO'!$H$63</f>
        <v>4.2599999999999999E-2</v>
      </c>
      <c r="I100" s="141">
        <f t="shared" si="125"/>
        <v>0.44</v>
      </c>
      <c r="J100" s="139">
        <f>'DADOS BÁSICOS 5º ANO'!$H$63</f>
        <v>4.2599999999999999E-2</v>
      </c>
      <c r="K100" s="141">
        <f t="shared" si="126"/>
        <v>0.43</v>
      </c>
      <c r="L100" s="139">
        <f>'DADOS BÁSICOS 5º ANO'!$H$63</f>
        <v>4.2599999999999999E-2</v>
      </c>
      <c r="M100" s="141">
        <f t="shared" si="127"/>
        <v>0.43</v>
      </c>
      <c r="N100" s="139">
        <f>'DADOS BÁSICOS 5º ANO'!$H$63</f>
        <v>4.2599999999999999E-2</v>
      </c>
      <c r="O100" s="141">
        <f t="shared" si="128"/>
        <v>0.43</v>
      </c>
      <c r="P100" s="139">
        <f>'DADOS BÁSICOS 5º ANO'!$H$63</f>
        <v>4.2599999999999999E-2</v>
      </c>
      <c r="Q100" s="141">
        <f t="shared" si="129"/>
        <v>0.43</v>
      </c>
      <c r="R100" s="139">
        <f>'DADOS BÁSICOS 5º ANO'!$H$63</f>
        <v>4.2599999999999999E-2</v>
      </c>
      <c r="S100" s="141">
        <f t="shared" si="130"/>
        <v>0.43</v>
      </c>
    </row>
    <row r="101" spans="1:19" ht="16.5" customHeight="1">
      <c r="A101" s="140" t="s">
        <v>229</v>
      </c>
      <c r="B101" s="300" t="s">
        <v>215</v>
      </c>
      <c r="C101" s="300"/>
      <c r="D101" s="300"/>
      <c r="E101" s="300"/>
      <c r="F101" s="300"/>
      <c r="G101" s="300"/>
      <c r="H101" s="139">
        <f>'DADOS BÁSICOS 5º ANO'!$H$64</f>
        <v>3.5400000000000001E-2</v>
      </c>
      <c r="I101" s="141">
        <f t="shared" si="125"/>
        <v>0.36</v>
      </c>
      <c r="J101" s="139">
        <f>'DADOS BÁSICOS 5º ANO'!$H$64</f>
        <v>3.5400000000000001E-2</v>
      </c>
      <c r="K101" s="141">
        <f t="shared" si="126"/>
        <v>0.36</v>
      </c>
      <c r="L101" s="139">
        <f>'DADOS BÁSICOS 5º ANO'!$H$64</f>
        <v>3.5400000000000001E-2</v>
      </c>
      <c r="M101" s="141">
        <f t="shared" si="127"/>
        <v>0.36</v>
      </c>
      <c r="N101" s="139">
        <f>'DADOS BÁSICOS 5º ANO'!$H$64</f>
        <v>3.5400000000000001E-2</v>
      </c>
      <c r="O101" s="141">
        <f t="shared" si="128"/>
        <v>0.36</v>
      </c>
      <c r="P101" s="139">
        <f>'DADOS BÁSICOS 5º ANO'!$H$64</f>
        <v>3.5400000000000001E-2</v>
      </c>
      <c r="Q101" s="141">
        <f t="shared" si="129"/>
        <v>0.36</v>
      </c>
      <c r="R101" s="139">
        <f>'DADOS BÁSICOS 5º ANO'!$H$64</f>
        <v>3.5400000000000001E-2</v>
      </c>
      <c r="S101" s="141">
        <f t="shared" si="130"/>
        <v>0.36</v>
      </c>
    </row>
    <row r="102" spans="1:19" ht="16.5" customHeight="1">
      <c r="A102" s="140" t="s">
        <v>230</v>
      </c>
      <c r="B102" s="300" t="s">
        <v>216</v>
      </c>
      <c r="C102" s="300"/>
      <c r="D102" s="300"/>
      <c r="E102" s="300"/>
      <c r="F102" s="300"/>
      <c r="G102" s="300"/>
      <c r="H102" s="139">
        <f>'DADOS BÁSICOS 5º ANO'!$H$65</f>
        <v>0.02</v>
      </c>
      <c r="I102" s="141">
        <f t="shared" si="125"/>
        <v>0.2</v>
      </c>
      <c r="J102" s="139">
        <f>'DADOS BÁSICOS 5º ANO'!$H$65</f>
        <v>0.02</v>
      </c>
      <c r="K102" s="141">
        <f t="shared" si="126"/>
        <v>0.2</v>
      </c>
      <c r="L102" s="139">
        <f>'DADOS BÁSICOS 5º ANO'!$H$65</f>
        <v>0.02</v>
      </c>
      <c r="M102" s="141">
        <f t="shared" si="127"/>
        <v>0.2</v>
      </c>
      <c r="N102" s="139">
        <f>'DADOS BÁSICOS 5º ANO'!$H$65</f>
        <v>0.02</v>
      </c>
      <c r="O102" s="141">
        <f t="shared" si="128"/>
        <v>0.2</v>
      </c>
      <c r="P102" s="139">
        <f>'DADOS BÁSICOS 5º ANO'!$H$65</f>
        <v>0.02</v>
      </c>
      <c r="Q102" s="141">
        <f t="shared" si="129"/>
        <v>0.2</v>
      </c>
      <c r="R102" s="139">
        <f>'DADOS BÁSICOS 5º ANO'!$H$65</f>
        <v>0.02</v>
      </c>
      <c r="S102" s="141">
        <f t="shared" si="130"/>
        <v>0.2</v>
      </c>
    </row>
    <row r="103" spans="1:19" ht="16.5" customHeight="1">
      <c r="A103" s="140" t="s">
        <v>231</v>
      </c>
      <c r="B103" s="300" t="s">
        <v>217</v>
      </c>
      <c r="C103" s="300"/>
      <c r="D103" s="300"/>
      <c r="E103" s="300"/>
      <c r="F103" s="300"/>
      <c r="G103" s="300"/>
      <c r="H103" s="139">
        <f>'DADOS BÁSICOS 5º ANO'!$H$66</f>
        <v>4.0000000000000001E-3</v>
      </c>
      <c r="I103" s="141">
        <f t="shared" si="125"/>
        <v>0.04</v>
      </c>
      <c r="J103" s="139">
        <f>'DADOS BÁSICOS 5º ANO'!$H$66</f>
        <v>4.0000000000000001E-3</v>
      </c>
      <c r="K103" s="141">
        <f t="shared" si="126"/>
        <v>0.04</v>
      </c>
      <c r="L103" s="139">
        <f>'DADOS BÁSICOS 5º ANO'!$H$66</f>
        <v>4.0000000000000001E-3</v>
      </c>
      <c r="M103" s="141">
        <f t="shared" si="127"/>
        <v>0.04</v>
      </c>
      <c r="N103" s="139">
        <f>'DADOS BÁSICOS 5º ANO'!$H$66</f>
        <v>4.0000000000000001E-3</v>
      </c>
      <c r="O103" s="141">
        <f t="shared" si="128"/>
        <v>0.04</v>
      </c>
      <c r="P103" s="139">
        <f>'DADOS BÁSICOS 5º ANO'!$H$66</f>
        <v>4.0000000000000001E-3</v>
      </c>
      <c r="Q103" s="141">
        <f t="shared" si="129"/>
        <v>0.04</v>
      </c>
      <c r="R103" s="139">
        <f>'DADOS BÁSICOS 5º ANO'!$H$66</f>
        <v>4.0000000000000001E-3</v>
      </c>
      <c r="S103" s="141">
        <f t="shared" si="130"/>
        <v>0.04</v>
      </c>
    </row>
    <row r="104" spans="1:19" ht="16.5" customHeight="1">
      <c r="A104" s="140" t="s">
        <v>232</v>
      </c>
      <c r="B104" s="300" t="s">
        <v>218</v>
      </c>
      <c r="C104" s="300"/>
      <c r="D104" s="300"/>
      <c r="E104" s="300"/>
      <c r="F104" s="300"/>
      <c r="G104" s="300"/>
      <c r="H104" s="139">
        <f>'DADOS BÁSICOS 5º ANO'!$H$67</f>
        <v>9.5999999999999992E-3</v>
      </c>
      <c r="I104" s="141">
        <f t="shared" si="125"/>
        <v>0.1</v>
      </c>
      <c r="J104" s="139">
        <f>'DADOS BÁSICOS 5º ANO'!$H$67</f>
        <v>9.5999999999999992E-3</v>
      </c>
      <c r="K104" s="141">
        <f t="shared" si="126"/>
        <v>0.1</v>
      </c>
      <c r="L104" s="139">
        <f>'DADOS BÁSICOS 5º ANO'!$H$67</f>
        <v>9.5999999999999992E-3</v>
      </c>
      <c r="M104" s="141">
        <f t="shared" si="127"/>
        <v>0.1</v>
      </c>
      <c r="N104" s="139">
        <f>'DADOS BÁSICOS 5º ANO'!$H$67</f>
        <v>9.5999999999999992E-3</v>
      </c>
      <c r="O104" s="141">
        <f t="shared" si="128"/>
        <v>0.1</v>
      </c>
      <c r="P104" s="139">
        <f>'DADOS BÁSICOS 5º ANO'!$H$67</f>
        <v>9.5999999999999992E-3</v>
      </c>
      <c r="Q104" s="141">
        <f t="shared" si="129"/>
        <v>0.1</v>
      </c>
      <c r="R104" s="139">
        <f>'DADOS BÁSICOS 5º ANO'!$H$67</f>
        <v>9.5999999999999992E-3</v>
      </c>
      <c r="S104" s="141">
        <f t="shared" si="130"/>
        <v>0.1</v>
      </c>
    </row>
    <row r="105" spans="1:19" ht="16.5" customHeight="1">
      <c r="A105" s="69" t="s">
        <v>60</v>
      </c>
      <c r="B105" s="301" t="s">
        <v>136</v>
      </c>
      <c r="C105" s="301"/>
      <c r="D105" s="301"/>
      <c r="E105" s="301"/>
      <c r="F105" s="301"/>
      <c r="G105" s="301"/>
      <c r="H105" s="139">
        <f>'DADOS BÁSICOS 5º ANO'!$H$68</f>
        <v>0.19980000000000001</v>
      </c>
      <c r="I105" s="71">
        <f t="shared" si="125"/>
        <v>2.04</v>
      </c>
      <c r="J105" s="139">
        <f>'DADOS BÁSICOS 5º ANO'!$H$68</f>
        <v>0.19980000000000001</v>
      </c>
      <c r="K105" s="71">
        <f t="shared" si="126"/>
        <v>2.0099999999999998</v>
      </c>
      <c r="L105" s="139">
        <f>'DADOS BÁSICOS 5º ANO'!$H$68</f>
        <v>0.19980000000000001</v>
      </c>
      <c r="M105" s="71">
        <f t="shared" si="127"/>
        <v>2.04</v>
      </c>
      <c r="N105" s="139">
        <f>'DADOS BÁSICOS 5º ANO'!$H$68</f>
        <v>0.19980000000000001</v>
      </c>
      <c r="O105" s="71">
        <f t="shared" si="128"/>
        <v>2.04</v>
      </c>
      <c r="P105" s="139">
        <f>'DADOS BÁSICOS 5º ANO'!$H$68</f>
        <v>0.19980000000000001</v>
      </c>
      <c r="Q105" s="71">
        <f t="shared" si="129"/>
        <v>2.02</v>
      </c>
      <c r="R105" s="139">
        <f>'DADOS BÁSICOS 5º ANO'!$H$68</f>
        <v>0.19980000000000001</v>
      </c>
      <c r="S105" s="71">
        <f t="shared" si="130"/>
        <v>2.04</v>
      </c>
    </row>
    <row r="106" spans="1:19" ht="16.5" customHeight="1">
      <c r="A106" s="69" t="s">
        <v>62</v>
      </c>
      <c r="B106" s="301" t="s">
        <v>137</v>
      </c>
      <c r="C106" s="301"/>
      <c r="D106" s="301"/>
      <c r="E106" s="301"/>
      <c r="F106" s="301"/>
      <c r="G106" s="301"/>
      <c r="H106" s="139">
        <f>'DADOS BÁSICOS 5º ANO'!$H$69</f>
        <v>0.96619999999999995</v>
      </c>
      <c r="I106" s="71">
        <f t="shared" si="125"/>
        <v>9.8699999999999992</v>
      </c>
      <c r="J106" s="139">
        <f>'DADOS BÁSICOS 5º ANO'!$H$69</f>
        <v>0.96619999999999995</v>
      </c>
      <c r="K106" s="71">
        <f t="shared" si="126"/>
        <v>9.74</v>
      </c>
      <c r="L106" s="139">
        <f>'DADOS BÁSICOS 5º ANO'!$H$69</f>
        <v>0.96619999999999995</v>
      </c>
      <c r="M106" s="71">
        <f t="shared" si="127"/>
        <v>9.84</v>
      </c>
      <c r="N106" s="139">
        <f>'DADOS BÁSICOS 5º ANO'!$H$69</f>
        <v>0.96619999999999995</v>
      </c>
      <c r="O106" s="71">
        <f t="shared" si="128"/>
        <v>9.85</v>
      </c>
      <c r="P106" s="139">
        <f>'DADOS BÁSICOS 5º ANO'!$H$69</f>
        <v>0.96619999999999995</v>
      </c>
      <c r="Q106" s="71">
        <f t="shared" si="129"/>
        <v>9.7799999999999994</v>
      </c>
      <c r="R106" s="139">
        <f>'DADOS BÁSICOS 5º ANO'!$H$69</f>
        <v>0.96619999999999995</v>
      </c>
      <c r="S106" s="71">
        <f t="shared" si="130"/>
        <v>9.85</v>
      </c>
    </row>
    <row r="107" spans="1:19" ht="16.5" customHeight="1">
      <c r="A107" s="69" t="s">
        <v>64</v>
      </c>
      <c r="B107" s="301" t="s">
        <v>138</v>
      </c>
      <c r="C107" s="301"/>
      <c r="D107" s="301"/>
      <c r="E107" s="301"/>
      <c r="F107" s="301"/>
      <c r="G107" s="301"/>
      <c r="H107" s="139">
        <f>'DADOS BÁSICOS 5º ANO'!$H$70</f>
        <v>2.4771999999999998</v>
      </c>
      <c r="I107" s="71">
        <f t="shared" si="125"/>
        <v>25.31</v>
      </c>
      <c r="J107" s="139">
        <f>'DADOS BÁSICOS 5º ANO'!$H$70</f>
        <v>2.4771999999999998</v>
      </c>
      <c r="K107" s="71">
        <f t="shared" si="126"/>
        <v>24.98</v>
      </c>
      <c r="L107" s="139">
        <f>'DADOS BÁSICOS 5º ANO'!$H$70</f>
        <v>2.4771999999999998</v>
      </c>
      <c r="M107" s="71">
        <f t="shared" si="127"/>
        <v>25.24</v>
      </c>
      <c r="N107" s="139">
        <f>'DADOS BÁSICOS 5º ANO'!$H$70</f>
        <v>2.4771999999999998</v>
      </c>
      <c r="O107" s="71">
        <f t="shared" si="128"/>
        <v>25.25</v>
      </c>
      <c r="P107" s="139">
        <f>'DADOS BÁSICOS 5º ANO'!$H$70</f>
        <v>2.4771999999999998</v>
      </c>
      <c r="Q107" s="71">
        <f t="shared" si="129"/>
        <v>25.07</v>
      </c>
      <c r="R107" s="139">
        <f>'DADOS BÁSICOS 5º ANO'!$H$70</f>
        <v>2.4771999999999998</v>
      </c>
      <c r="S107" s="71">
        <f t="shared" si="130"/>
        <v>25.25</v>
      </c>
    </row>
    <row r="108" spans="1:19" ht="16.5" customHeight="1">
      <c r="A108" s="41" t="s">
        <v>66</v>
      </c>
      <c r="B108" s="301" t="s">
        <v>139</v>
      </c>
      <c r="C108" s="301"/>
      <c r="D108" s="301"/>
      <c r="E108" s="301"/>
      <c r="F108" s="301"/>
      <c r="G108" s="301"/>
      <c r="H108" s="139">
        <f>'DADOS BÁSICOS 5º ANO'!$H$71</f>
        <v>0</v>
      </c>
      <c r="I108" s="71">
        <f t="shared" si="125"/>
        <v>0</v>
      </c>
      <c r="J108" s="139">
        <f>'DADOS BÁSICOS 5º ANO'!$H$71</f>
        <v>0</v>
      </c>
      <c r="K108" s="71">
        <f t="shared" si="126"/>
        <v>0</v>
      </c>
      <c r="L108" s="139">
        <f>'DADOS BÁSICOS 5º ANO'!$H$71</f>
        <v>0</v>
      </c>
      <c r="M108" s="71">
        <f t="shared" si="127"/>
        <v>0</v>
      </c>
      <c r="N108" s="139">
        <f>'DADOS BÁSICOS 5º ANO'!$H$71</f>
        <v>0</v>
      </c>
      <c r="O108" s="71">
        <f t="shared" si="128"/>
        <v>0</v>
      </c>
      <c r="P108" s="139">
        <f>'DADOS BÁSICOS 5º ANO'!$H$71</f>
        <v>0</v>
      </c>
      <c r="Q108" s="71">
        <f t="shared" si="129"/>
        <v>0</v>
      </c>
      <c r="R108" s="139">
        <f>'DADOS BÁSICOS 5º ANO'!$H$71</f>
        <v>0</v>
      </c>
      <c r="S108" s="71">
        <f t="shared" si="130"/>
        <v>0</v>
      </c>
    </row>
    <row r="109" spans="1:19">
      <c r="A109" s="287" t="s">
        <v>85</v>
      </c>
      <c r="B109" s="287"/>
      <c r="C109" s="287"/>
      <c r="D109" s="287"/>
      <c r="E109" s="287"/>
      <c r="F109" s="287"/>
      <c r="G109" s="287"/>
      <c r="H109" s="142">
        <f>H96+H105+H106+H107+H108</f>
        <v>8.5166000000000004</v>
      </c>
      <c r="I109" s="80">
        <f>I96+I105+I106+I107+I108</f>
        <v>87.03</v>
      </c>
      <c r="J109" s="142">
        <f>$H109</f>
        <v>8.5166000000000004</v>
      </c>
      <c r="K109" s="80">
        <f>K96+K105+K106+K107+K108</f>
        <v>85.88</v>
      </c>
      <c r="L109" s="142">
        <f>$H109</f>
        <v>8.5166000000000004</v>
      </c>
      <c r="M109" s="80">
        <f>M96+M105+M106+M107+M108</f>
        <v>86.77</v>
      </c>
      <c r="N109" s="142">
        <f>$H109</f>
        <v>8.5166000000000004</v>
      </c>
      <c r="O109" s="80">
        <f>O96+O105+O106+O107+O108</f>
        <v>86.81</v>
      </c>
      <c r="P109" s="142">
        <f>$H109</f>
        <v>8.5166000000000004</v>
      </c>
      <c r="Q109" s="80">
        <f>Q96+Q105+Q106+Q107+Q108</f>
        <v>86.19</v>
      </c>
      <c r="R109" s="142">
        <f>$H109</f>
        <v>8.5166000000000004</v>
      </c>
      <c r="S109" s="80">
        <f>S96+S105+S106+S107+S108</f>
        <v>86.81</v>
      </c>
    </row>
    <row r="110" spans="1:19">
      <c r="A110" s="143" t="s">
        <v>140</v>
      </c>
      <c r="B110" s="290" t="s">
        <v>141</v>
      </c>
      <c r="C110" s="290"/>
      <c r="D110" s="290"/>
      <c r="E110" s="290"/>
      <c r="F110" s="290"/>
      <c r="G110" s="290"/>
      <c r="H110" s="144"/>
      <c r="I110" s="145" t="s">
        <v>79</v>
      </c>
      <c r="J110" s="144"/>
      <c r="K110" s="145" t="s">
        <v>79</v>
      </c>
      <c r="L110" s="144"/>
      <c r="M110" s="145" t="s">
        <v>79</v>
      </c>
      <c r="N110" s="144"/>
      <c r="O110" s="145" t="s">
        <v>79</v>
      </c>
      <c r="P110" s="144"/>
      <c r="Q110" s="145" t="s">
        <v>79</v>
      </c>
      <c r="R110" s="144"/>
      <c r="S110" s="145" t="s">
        <v>79</v>
      </c>
    </row>
    <row r="111" spans="1:19" ht="16.5" customHeight="1">
      <c r="A111" s="69" t="s">
        <v>58</v>
      </c>
      <c r="B111" s="286" t="s">
        <v>142</v>
      </c>
      <c r="C111" s="286"/>
      <c r="D111" s="286"/>
      <c r="E111" s="286"/>
      <c r="F111" s="286"/>
      <c r="G111" s="286"/>
      <c r="H111" s="48"/>
      <c r="I111" s="146">
        <v>0</v>
      </c>
      <c r="J111" s="48"/>
      <c r="K111" s="146">
        <v>0</v>
      </c>
      <c r="L111" s="48"/>
      <c r="M111" s="146">
        <v>0</v>
      </c>
      <c r="N111" s="48"/>
      <c r="O111" s="146">
        <v>0</v>
      </c>
      <c r="P111" s="48"/>
      <c r="Q111" s="146">
        <v>0</v>
      </c>
      <c r="R111" s="48"/>
      <c r="S111" s="146">
        <v>0</v>
      </c>
    </row>
    <row r="112" spans="1:19">
      <c r="A112" s="287" t="s">
        <v>85</v>
      </c>
      <c r="B112" s="287"/>
      <c r="C112" s="287"/>
      <c r="D112" s="287"/>
      <c r="E112" s="287"/>
      <c r="F112" s="287"/>
      <c r="G112" s="287"/>
      <c r="H112" s="113"/>
      <c r="I112" s="147">
        <f>SUM(I111:I111)</f>
        <v>0</v>
      </c>
      <c r="J112" s="113"/>
      <c r="K112" s="147">
        <f>SUM(K111:K111)</f>
        <v>0</v>
      </c>
      <c r="L112" s="113"/>
      <c r="M112" s="147">
        <f>SUM(M111:M111)</f>
        <v>0</v>
      </c>
      <c r="N112" s="113"/>
      <c r="O112" s="147">
        <f>SUM(O111:O111)</f>
        <v>0</v>
      </c>
      <c r="P112" s="113"/>
      <c r="Q112" s="147">
        <f>SUM(Q111:Q111)</f>
        <v>0</v>
      </c>
      <c r="R112" s="113"/>
      <c r="S112" s="147">
        <f>SUM(S111:S111)</f>
        <v>0</v>
      </c>
    </row>
    <row r="113" spans="1:20" ht="21.75" customHeight="1">
      <c r="A113" s="37" t="s">
        <v>143</v>
      </c>
      <c r="B113" s="63"/>
      <c r="C113" s="63"/>
      <c r="D113" s="63"/>
      <c r="E113" s="63"/>
      <c r="F113" s="63"/>
      <c r="G113" s="63"/>
      <c r="H113" s="64"/>
      <c r="I113" s="65"/>
      <c r="J113" s="64"/>
      <c r="K113" s="65"/>
      <c r="L113" s="64"/>
      <c r="M113" s="65"/>
      <c r="N113" s="64"/>
      <c r="O113" s="65"/>
      <c r="P113" s="64"/>
      <c r="Q113" s="65"/>
      <c r="R113" s="64"/>
      <c r="S113" s="65"/>
    </row>
    <row r="114" spans="1:20" ht="12.75" customHeight="1">
      <c r="A114" s="66">
        <v>4</v>
      </c>
      <c r="B114" s="288" t="s">
        <v>144</v>
      </c>
      <c r="C114" s="288"/>
      <c r="D114" s="288"/>
      <c r="E114" s="288"/>
      <c r="F114" s="288"/>
      <c r="G114" s="288"/>
      <c r="H114" s="148"/>
      <c r="I114" s="68" t="s">
        <v>79</v>
      </c>
      <c r="J114" s="148"/>
      <c r="K114" s="68" t="s">
        <v>79</v>
      </c>
      <c r="L114" s="148"/>
      <c r="M114" s="68" t="s">
        <v>79</v>
      </c>
      <c r="N114" s="148"/>
      <c r="O114" s="68" t="s">
        <v>79</v>
      </c>
      <c r="P114" s="148"/>
      <c r="Q114" s="68" t="s">
        <v>79</v>
      </c>
      <c r="R114" s="148"/>
      <c r="S114" s="68" t="s">
        <v>79</v>
      </c>
    </row>
    <row r="115" spans="1:20" ht="12.75" customHeight="1">
      <c r="A115" s="85" t="s">
        <v>132</v>
      </c>
      <c r="B115" s="284" t="s">
        <v>133</v>
      </c>
      <c r="C115" s="284"/>
      <c r="D115" s="284"/>
      <c r="E115" s="284"/>
      <c r="F115" s="284"/>
      <c r="G115" s="284"/>
      <c r="H115" s="149"/>
      <c r="I115" s="71">
        <f>I109</f>
        <v>87.03</v>
      </c>
      <c r="J115" s="149"/>
      <c r="K115" s="71">
        <f>K109</f>
        <v>85.88</v>
      </c>
      <c r="L115" s="149"/>
      <c r="M115" s="71">
        <f>M109</f>
        <v>86.77</v>
      </c>
      <c r="N115" s="149"/>
      <c r="O115" s="71">
        <f>O109</f>
        <v>86.81</v>
      </c>
      <c r="P115" s="149"/>
      <c r="Q115" s="71">
        <f>Q109</f>
        <v>86.19</v>
      </c>
      <c r="R115" s="149"/>
      <c r="S115" s="71">
        <f>S109</f>
        <v>86.81</v>
      </c>
    </row>
    <row r="116" spans="1:20" ht="12.75" customHeight="1">
      <c r="A116" s="85" t="s">
        <v>140</v>
      </c>
      <c r="B116" s="299" t="s">
        <v>145</v>
      </c>
      <c r="C116" s="299"/>
      <c r="D116" s="299"/>
      <c r="E116" s="299"/>
      <c r="F116" s="299"/>
      <c r="G116" s="299"/>
      <c r="H116" s="150"/>
      <c r="I116" s="71">
        <f>I112</f>
        <v>0</v>
      </c>
      <c r="J116" s="150"/>
      <c r="K116" s="71">
        <f>K112</f>
        <v>0</v>
      </c>
      <c r="L116" s="150"/>
      <c r="M116" s="71">
        <f>M112</f>
        <v>0</v>
      </c>
      <c r="N116" s="150"/>
      <c r="O116" s="71">
        <f>O112</f>
        <v>0</v>
      </c>
      <c r="P116" s="150"/>
      <c r="Q116" s="71">
        <f>Q112</f>
        <v>0</v>
      </c>
      <c r="R116" s="150"/>
      <c r="S116" s="71">
        <f>S112</f>
        <v>0</v>
      </c>
    </row>
    <row r="117" spans="1:20">
      <c r="A117" s="298" t="s">
        <v>85</v>
      </c>
      <c r="B117" s="298"/>
      <c r="C117" s="298"/>
      <c r="D117" s="298"/>
      <c r="E117" s="298"/>
      <c r="F117" s="298"/>
      <c r="G117" s="298"/>
      <c r="H117" s="151"/>
      <c r="I117" s="80">
        <f>SUM(I115:I116)</f>
        <v>87.03</v>
      </c>
      <c r="J117" s="151"/>
      <c r="K117" s="80">
        <f>SUM(K115:K116)</f>
        <v>85.88</v>
      </c>
      <c r="L117" s="151"/>
      <c r="M117" s="80">
        <f>SUM(M115:M116)</f>
        <v>86.77</v>
      </c>
      <c r="N117" s="151"/>
      <c r="O117" s="80">
        <f>SUM(O115:O116)</f>
        <v>86.81</v>
      </c>
      <c r="P117" s="151"/>
      <c r="Q117" s="80">
        <f>SUM(Q115:Q116)</f>
        <v>86.19</v>
      </c>
      <c r="R117" s="151"/>
      <c r="S117" s="80">
        <f>SUM(S115:S116)</f>
        <v>86.81</v>
      </c>
    </row>
    <row r="118" spans="1:20" ht="18.75" customHeight="1">
      <c r="A118" s="37" t="s">
        <v>146</v>
      </c>
      <c r="B118" s="38"/>
      <c r="C118" s="38"/>
      <c r="D118" s="38"/>
      <c r="E118" s="38"/>
      <c r="F118" s="38"/>
      <c r="G118" s="38"/>
      <c r="H118" s="39"/>
      <c r="I118" s="40"/>
      <c r="J118" s="39"/>
      <c r="K118" s="40"/>
      <c r="L118" s="39"/>
      <c r="M118" s="40"/>
      <c r="N118" s="39"/>
      <c r="O118" s="40"/>
      <c r="P118" s="39"/>
      <c r="Q118" s="40"/>
      <c r="R118" s="39"/>
      <c r="S118" s="40"/>
    </row>
    <row r="119" spans="1:20" ht="12.75" customHeight="1">
      <c r="A119" s="66">
        <v>5</v>
      </c>
      <c r="B119" s="288" t="s">
        <v>147</v>
      </c>
      <c r="C119" s="288"/>
      <c r="D119" s="288"/>
      <c r="E119" s="288"/>
      <c r="F119" s="288"/>
      <c r="G119" s="288"/>
      <c r="H119" s="148"/>
      <c r="I119" s="68" t="s">
        <v>79</v>
      </c>
      <c r="J119" s="148"/>
      <c r="K119" s="68" t="s">
        <v>79</v>
      </c>
      <c r="L119" s="148"/>
      <c r="M119" s="68" t="s">
        <v>79</v>
      </c>
      <c r="N119" s="148"/>
      <c r="O119" s="68" t="s">
        <v>79</v>
      </c>
      <c r="P119" s="148"/>
      <c r="Q119" s="68" t="s">
        <v>79</v>
      </c>
      <c r="R119" s="148"/>
      <c r="S119" s="68" t="s">
        <v>79</v>
      </c>
    </row>
    <row r="120" spans="1:20" ht="15" customHeight="1">
      <c r="A120" s="154" t="s">
        <v>58</v>
      </c>
      <c r="B120" s="295" t="s">
        <v>40</v>
      </c>
      <c r="C120" s="295"/>
      <c r="D120" s="295"/>
      <c r="E120" s="295"/>
      <c r="F120" s="295"/>
      <c r="G120" s="295"/>
      <c r="H120" s="149"/>
      <c r="I120" s="71">
        <f>SUM(I121:I123)</f>
        <v>41.03</v>
      </c>
      <c r="J120" s="149"/>
      <c r="K120" s="71">
        <f t="shared" ref="K120" si="131">SUM(K121:K123)</f>
        <v>53.41</v>
      </c>
      <c r="L120" s="149"/>
      <c r="M120" s="71">
        <f t="shared" ref="M120" si="132">SUM(M121:M123)</f>
        <v>43.24</v>
      </c>
      <c r="N120" s="149"/>
      <c r="O120" s="71">
        <f t="shared" ref="O120" si="133">SUM(O121:O123)</f>
        <v>44.52</v>
      </c>
      <c r="P120" s="149"/>
      <c r="Q120" s="71">
        <f t="shared" ref="Q120" si="134">SUM(Q121:Q123)</f>
        <v>47.49</v>
      </c>
      <c r="R120" s="149"/>
      <c r="S120" s="71">
        <f t="shared" ref="S120" si="135">SUM(S121:S123)</f>
        <v>53.41</v>
      </c>
      <c r="T120" s="153"/>
    </row>
    <row r="121" spans="1:20" ht="15" customHeight="1">
      <c r="A121" s="155" t="s">
        <v>219</v>
      </c>
      <c r="B121" s="286" t="s">
        <v>220</v>
      </c>
      <c r="C121" s="286"/>
      <c r="D121" s="286"/>
      <c r="E121" s="286"/>
      <c r="F121" s="286"/>
      <c r="G121" s="286"/>
      <c r="H121" s="149"/>
      <c r="I121" s="71">
        <f>'DADOS BÁSICOS 5º ANO'!$D$46</f>
        <v>35.61</v>
      </c>
      <c r="J121" s="149"/>
      <c r="K121" s="71">
        <f>'DADOS BÁSICOS 5º ANO'!$D$46</f>
        <v>35.61</v>
      </c>
      <c r="L121" s="149"/>
      <c r="M121" s="71">
        <f>'DADOS BÁSICOS 5º ANO'!$D$46</f>
        <v>35.61</v>
      </c>
      <c r="N121" s="149"/>
      <c r="O121" s="71">
        <f>'DADOS BÁSICOS 5º ANO'!$D$46</f>
        <v>35.61</v>
      </c>
      <c r="P121" s="149"/>
      <c r="Q121" s="71">
        <f>'DADOS BÁSICOS 5º ANO'!$D$46</f>
        <v>35.61</v>
      </c>
      <c r="R121" s="149"/>
      <c r="S121" s="71">
        <f>'DADOS BÁSICOS 5º ANO'!$D$46</f>
        <v>35.61</v>
      </c>
      <c r="T121" s="153"/>
    </row>
    <row r="122" spans="1:20" ht="15" customHeight="1">
      <c r="A122" s="158" t="s">
        <v>221</v>
      </c>
      <c r="B122" s="296" t="s">
        <v>223</v>
      </c>
      <c r="C122" s="296"/>
      <c r="D122" s="296"/>
      <c r="E122" s="296"/>
      <c r="F122" s="296"/>
      <c r="G122" s="296"/>
      <c r="H122" s="159">
        <f>(ROUNDUP(((H109*H11)/(365*0.6986)),0))/H11</f>
        <v>4.3499999999999997E-2</v>
      </c>
      <c r="I122" s="249">
        <f>'DADOS BÁSICOS 5º ANO'!$D$46*H122</f>
        <v>1.55</v>
      </c>
      <c r="J122" s="159">
        <f t="shared" ref="J122" si="136">(ROUNDUP(((J109*J11)/(365*0.6986)),0))/J11</f>
        <v>0.25</v>
      </c>
      <c r="K122" s="249">
        <f>'DADOS BÁSICOS 5º ANO'!$D$46*J122</f>
        <v>8.9</v>
      </c>
      <c r="L122" s="159">
        <f t="shared" ref="L122" si="137">(ROUNDUP(((L109*L11)/(365*0.6986)),0))/L11</f>
        <v>7.1400000000000005E-2</v>
      </c>
      <c r="M122" s="249">
        <f>'DADOS BÁSICOS 5º ANO'!$D$46*L122</f>
        <v>2.54</v>
      </c>
      <c r="N122" s="159">
        <f t="shared" ref="N122" si="138">(ROUNDUP(((N109*N11)/(365*0.6986)),0))/N11</f>
        <v>8.3299999999999999E-2</v>
      </c>
      <c r="O122" s="249">
        <f>'DADOS BÁSICOS 5º ANO'!$D$46*N122</f>
        <v>2.97</v>
      </c>
      <c r="P122" s="159">
        <f t="shared" ref="P122" si="139">(ROUNDUP(((P109*P11)/(365*0.6986)),0))/P11</f>
        <v>0.16669999999999999</v>
      </c>
      <c r="Q122" s="249">
        <f>'DADOS BÁSICOS 5º ANO'!$D$46*P122</f>
        <v>5.94</v>
      </c>
      <c r="R122" s="159">
        <f t="shared" ref="R122" si="140">(ROUNDUP(((R109*R11)/(365*0.6986)),0))/R11</f>
        <v>0.25</v>
      </c>
      <c r="S122" s="249">
        <f>'DADOS BÁSICOS 5º ANO'!$D$46*R122</f>
        <v>8.9</v>
      </c>
      <c r="T122" s="153"/>
    </row>
    <row r="123" spans="1:20" ht="15" customHeight="1">
      <c r="A123" s="108" t="s">
        <v>222</v>
      </c>
      <c r="B123" s="297" t="s">
        <v>209</v>
      </c>
      <c r="C123" s="297"/>
      <c r="D123" s="297"/>
      <c r="E123" s="297"/>
      <c r="F123" s="297"/>
      <c r="G123" s="297"/>
      <c r="H123" s="161">
        <f>((ROUNDUP((H11/11),0))/H11)</f>
        <v>0.1087</v>
      </c>
      <c r="I123" s="250">
        <f>'DADOS BÁSICOS 5º ANO'!$D$46*H123</f>
        <v>3.87</v>
      </c>
      <c r="J123" s="161">
        <f t="shared" ref="J123" si="141">((ROUNDUP((J11/11),0))/J11)</f>
        <v>0.25</v>
      </c>
      <c r="K123" s="250">
        <f>'DADOS BÁSICOS 5º ANO'!$D$46*J123</f>
        <v>8.9</v>
      </c>
      <c r="L123" s="161">
        <f t="shared" ref="L123" si="142">((ROUNDUP((L11/11),0))/L11)</f>
        <v>0.1429</v>
      </c>
      <c r="M123" s="250">
        <f>'DADOS BÁSICOS 5º ANO'!$D$46*L123</f>
        <v>5.09</v>
      </c>
      <c r="N123" s="161">
        <f t="shared" ref="N123" si="143">((ROUNDUP((N11/11),0))/N11)</f>
        <v>0.16669999999999999</v>
      </c>
      <c r="O123" s="250">
        <f>'DADOS BÁSICOS 5º ANO'!$D$46*N123</f>
        <v>5.94</v>
      </c>
      <c r="P123" s="161">
        <f t="shared" ref="P123" si="144">((ROUNDUP((P11/11),0))/P11)</f>
        <v>0.16669999999999999</v>
      </c>
      <c r="Q123" s="250">
        <f>'DADOS BÁSICOS 5º ANO'!$D$46*P123</f>
        <v>5.94</v>
      </c>
      <c r="R123" s="161">
        <f t="shared" ref="R123" si="145">((ROUNDUP((R11/11),0))/R11)</f>
        <v>0.25</v>
      </c>
      <c r="S123" s="250">
        <f>'DADOS BÁSICOS 5º ANO'!$D$46*R123</f>
        <v>8.9</v>
      </c>
      <c r="T123" s="153"/>
    </row>
    <row r="124" spans="1:20" ht="12.75" customHeight="1">
      <c r="A124" s="154" t="s">
        <v>60</v>
      </c>
      <c r="B124" s="295" t="s">
        <v>44</v>
      </c>
      <c r="C124" s="295"/>
      <c r="D124" s="295"/>
      <c r="E124" s="295"/>
      <c r="F124" s="295"/>
      <c r="G124" s="295"/>
      <c r="H124" s="149"/>
      <c r="I124" s="163">
        <f>'DADOS BÁSICOS 5º ANO'!$D$50/H10</f>
        <v>0</v>
      </c>
      <c r="J124" s="149"/>
      <c r="K124" s="163">
        <f>'DADOS BÁSICOS 5º ANO'!$D$50/J10</f>
        <v>0</v>
      </c>
      <c r="L124" s="149"/>
      <c r="M124" s="163">
        <f>'DADOS BÁSICOS 5º ANO'!$D$50/L10</f>
        <v>0</v>
      </c>
      <c r="N124" s="149"/>
      <c r="O124" s="163">
        <f>'DADOS BÁSICOS 5º ANO'!$D$50/N10</f>
        <v>0</v>
      </c>
      <c r="P124" s="149"/>
      <c r="Q124" s="163">
        <f>'DADOS BÁSICOS 5º ANO'!$D$50/P10</f>
        <v>0</v>
      </c>
      <c r="R124" s="149"/>
      <c r="S124" s="163">
        <f>'DADOS BÁSICOS 5º ANO'!$D$50/R10</f>
        <v>0</v>
      </c>
      <c r="T124" s="153"/>
    </row>
    <row r="125" spans="1:20" ht="16.5" customHeight="1">
      <c r="A125" s="154" t="s">
        <v>62</v>
      </c>
      <c r="B125" s="295" t="s">
        <v>47</v>
      </c>
      <c r="C125" s="295"/>
      <c r="D125" s="295"/>
      <c r="E125" s="295"/>
      <c r="F125" s="295"/>
      <c r="G125" s="295"/>
      <c r="H125" s="149"/>
      <c r="I125" s="163">
        <f>SUM(I126:I128)</f>
        <v>0.24</v>
      </c>
      <c r="J125" s="149"/>
      <c r="K125" s="163">
        <f t="shared" ref="K125" si="146">SUM(K126:K128)</f>
        <v>2.0699999999999998</v>
      </c>
      <c r="L125" s="149"/>
      <c r="M125" s="163">
        <f t="shared" ref="M125" si="147">SUM(M126:M128)</f>
        <v>0.79</v>
      </c>
      <c r="N125" s="149"/>
      <c r="O125" s="163">
        <f t="shared" ref="O125" si="148">SUM(O126:O128)</f>
        <v>0.9</v>
      </c>
      <c r="P125" s="149"/>
      <c r="Q125" s="163">
        <f t="shared" ref="Q125" si="149">SUM(Q126:Q128)</f>
        <v>1.64</v>
      </c>
      <c r="R125" s="149"/>
      <c r="S125" s="163">
        <f t="shared" ref="S125" si="150">SUM(S126:S128)</f>
        <v>2.0699999999999998</v>
      </c>
      <c r="T125" s="164"/>
    </row>
    <row r="126" spans="1:20" ht="12.75" customHeight="1">
      <c r="A126" s="69" t="s">
        <v>224</v>
      </c>
      <c r="B126" s="286" t="s">
        <v>226</v>
      </c>
      <c r="C126" s="286"/>
      <c r="D126" s="286"/>
      <c r="E126" s="286"/>
      <c r="F126" s="286"/>
      <c r="G126" s="286"/>
      <c r="H126" s="149"/>
      <c r="I126" s="163">
        <f>('DADOS BÁSICOS 5º ANO'!$G$54/'DADOS BÁSICOS 5º ANO'!$C$54)/(H$11+'TELEFONISTA 5º ANO'!$H$11)</f>
        <v>0.28999999999999998</v>
      </c>
      <c r="J126" s="149"/>
      <c r="K126" s="163">
        <f>('DADOS BÁSICOS 5º ANO'!$G$54/'DADOS BÁSICOS 5º ANO'!$C$54)/J$11</f>
        <v>3.45</v>
      </c>
      <c r="L126" s="149"/>
      <c r="M126" s="163">
        <f>('DADOS BÁSICOS 5º ANO'!$G$54/'DADOS BÁSICOS 5º ANO'!$C$54)/L$11</f>
        <v>0.99</v>
      </c>
      <c r="N126" s="149"/>
      <c r="O126" s="163">
        <f>('DADOS BÁSICOS 5º ANO'!$G$54/'DADOS BÁSICOS 5º ANO'!$C$54)/N$11</f>
        <v>1.1499999999999999</v>
      </c>
      <c r="P126" s="149"/>
      <c r="Q126" s="163">
        <f>('DADOS BÁSICOS 5º ANO'!$G$54/'DADOS BÁSICOS 5º ANO'!$C$54)/P$11</f>
        <v>2.2999999999999998</v>
      </c>
      <c r="R126" s="149"/>
      <c r="S126" s="163">
        <f>('DADOS BÁSICOS 5º ANO'!$G$54/'DADOS BÁSICOS 5º ANO'!$C$54)/R$11</f>
        <v>3.45</v>
      </c>
      <c r="T126" s="164"/>
    </row>
    <row r="127" spans="1:20" ht="12.75" customHeight="1">
      <c r="A127" s="158" t="s">
        <v>225</v>
      </c>
      <c r="B127" s="296" t="s">
        <v>227</v>
      </c>
      <c r="C127" s="296"/>
      <c r="D127" s="296"/>
      <c r="E127" s="296"/>
      <c r="F127" s="296"/>
      <c r="G127" s="296"/>
      <c r="H127" s="159"/>
      <c r="I127" s="165">
        <f>(('DADOS BÁSICOS LICITAÇÃO'!$G$54/'DADOS BÁSICOS LICITAÇÃO'!$C$54)/(H$11+'TELEFONISTA 5º ANO'!$H$11+(ROUNDUP(((H109*H11)/(365*0.6986)),0)+(ROUNDUP((('TELEFONISTA 5º ANO'!H109*'TELEFONISTA 5º ANO'!H11)/(365*0.6986)),0))))-I126)</f>
        <v>-0.02</v>
      </c>
      <c r="J127" s="159"/>
      <c r="K127" s="165">
        <f>(('DADOS BÁSICOS LICITAÇÃO'!$G$54/'DADOS BÁSICOS LICITAÇÃO'!$C$54)/(J$11+(ROUNDUP(((J109*J11)/(365*0.6986)),0))))-K126</f>
        <v>-0.69</v>
      </c>
      <c r="L127" s="159"/>
      <c r="M127" s="165">
        <f>(('DADOS BÁSICOS LICITAÇÃO'!$G$54/'DADOS BÁSICOS LICITAÇÃO'!$C$54)/(L$11+(ROUNDUP(((L109*L11)/(365*0.6986)),0))))-M126</f>
        <v>-7.0000000000000007E-2</v>
      </c>
      <c r="N127" s="159"/>
      <c r="O127" s="165">
        <f>(('DADOS BÁSICOS LICITAÇÃO'!$G$54/'DADOS BÁSICOS LICITAÇÃO'!$C$54)/(N$11+(ROUNDUP(((N109*N11)/(365*0.6986)),0))))-O126</f>
        <v>-0.09</v>
      </c>
      <c r="P127" s="159"/>
      <c r="Q127" s="165">
        <f>(('DADOS BÁSICOS LICITAÇÃO'!$G$54/'DADOS BÁSICOS LICITAÇÃO'!$C$54)/(P$11+(ROUNDUP(((P109*P11)/(365*0.6986)),0))))-Q126</f>
        <v>-0.33</v>
      </c>
      <c r="R127" s="159"/>
      <c r="S127" s="165">
        <f>(('DADOS BÁSICOS LICITAÇÃO'!$G$54/'DADOS BÁSICOS LICITAÇÃO'!$C$54)/(R$11+(ROUNDUP(((R109*R11)/(365*0.6986)),0))))-S126</f>
        <v>-0.69</v>
      </c>
      <c r="T127" s="164"/>
    </row>
    <row r="128" spans="1:20" ht="12.75" customHeight="1">
      <c r="A128" s="108" t="s">
        <v>225</v>
      </c>
      <c r="B128" s="297" t="s">
        <v>210</v>
      </c>
      <c r="C128" s="297"/>
      <c r="D128" s="297"/>
      <c r="E128" s="297"/>
      <c r="F128" s="297"/>
      <c r="G128" s="297"/>
      <c r="H128" s="161"/>
      <c r="I128" s="251">
        <f>(('DADOS BÁSICOS 5º ANO'!$G$54/'DADOS BÁSICOS 5º ANO'!$C$54)/(H$11+'TELEFONISTA 5º ANO'!$H$11+ROUNDUP((H11/11),0)+ROUNDUP(('TELEFONISTA 5º ANO'!H11/11),0)))-I126</f>
        <v>-0.03</v>
      </c>
      <c r="J128" s="161"/>
      <c r="K128" s="251">
        <f>(('DADOS BÁSICOS 5º ANO'!$G$54/'DADOS BÁSICOS 5º ANO'!$C$54)/(J$11+ROUNDUP((J11/11),0)))-K126</f>
        <v>-0.69</v>
      </c>
      <c r="L128" s="161"/>
      <c r="M128" s="251">
        <f>(('DADOS BÁSICOS 5º ANO'!$G$54/'DADOS BÁSICOS 5º ANO'!$C$54)/(L$11+ROUNDUP((L11/11),0)))-M126</f>
        <v>-0.13</v>
      </c>
      <c r="N128" s="161"/>
      <c r="O128" s="251">
        <f>(('DADOS BÁSICOS 5º ANO'!$G$54/'DADOS BÁSICOS 5º ANO'!$C$54)/(N$11+ROUNDUP((N11/11),0)))-O126</f>
        <v>-0.16</v>
      </c>
      <c r="P128" s="161"/>
      <c r="Q128" s="251">
        <f>(('DADOS BÁSICOS 5º ANO'!$G$54/'DADOS BÁSICOS 5º ANO'!$C$54)/(P$11+ROUNDUP((P11/11),0)))-Q126</f>
        <v>-0.33</v>
      </c>
      <c r="R128" s="161"/>
      <c r="S128" s="251">
        <f>(('DADOS BÁSICOS 5º ANO'!$G$54/'DADOS BÁSICOS 5º ANO'!$C$54)/(R$11+ROUNDUP((R11/11),0)))-S126</f>
        <v>-0.69</v>
      </c>
      <c r="T128" s="164"/>
    </row>
    <row r="129" spans="1:19">
      <c r="A129" s="287" t="s">
        <v>85</v>
      </c>
      <c r="B129" s="287"/>
      <c r="C129" s="287"/>
      <c r="D129" s="287"/>
      <c r="E129" s="287"/>
      <c r="F129" s="287"/>
      <c r="G129" s="287"/>
      <c r="H129" s="113"/>
      <c r="I129" s="167">
        <f>I120+I124+I125</f>
        <v>41.27</v>
      </c>
      <c r="J129" s="113"/>
      <c r="K129" s="167">
        <f>K120+K124+K125</f>
        <v>55.48</v>
      </c>
      <c r="L129" s="113"/>
      <c r="M129" s="167">
        <f>M120+M124+M125</f>
        <v>44.03</v>
      </c>
      <c r="N129" s="113"/>
      <c r="O129" s="167">
        <f>O120+O124+O125</f>
        <v>45.42</v>
      </c>
      <c r="P129" s="113"/>
      <c r="Q129" s="167">
        <f>Q120+Q124+Q125</f>
        <v>49.13</v>
      </c>
      <c r="R129" s="113"/>
      <c r="S129" s="167">
        <f>S120+S124+S125</f>
        <v>55.48</v>
      </c>
    </row>
    <row r="130" spans="1:19" ht="14.25" customHeight="1">
      <c r="A130" s="289" t="s">
        <v>148</v>
      </c>
      <c r="B130" s="289"/>
      <c r="C130" s="289"/>
      <c r="D130" s="289"/>
      <c r="E130" s="289"/>
      <c r="F130" s="289"/>
      <c r="G130" s="289"/>
      <c r="H130" s="132" t="s">
        <v>93</v>
      </c>
      <c r="I130" s="168">
        <f>I29</f>
        <v>1806.53</v>
      </c>
      <c r="J130" s="132" t="s">
        <v>93</v>
      </c>
      <c r="K130" s="168">
        <f>K29</f>
        <v>1806.53</v>
      </c>
      <c r="L130" s="132" t="s">
        <v>93</v>
      </c>
      <c r="M130" s="168">
        <f>M29</f>
        <v>1806.53</v>
      </c>
      <c r="N130" s="132" t="s">
        <v>93</v>
      </c>
      <c r="O130" s="168">
        <f>O29</f>
        <v>1806.53</v>
      </c>
      <c r="P130" s="132" t="s">
        <v>93</v>
      </c>
      <c r="Q130" s="168">
        <f>Q29</f>
        <v>1806.53</v>
      </c>
      <c r="R130" s="132" t="s">
        <v>93</v>
      </c>
      <c r="S130" s="168">
        <f>S29</f>
        <v>1806.53</v>
      </c>
    </row>
    <row r="131" spans="1:19">
      <c r="A131" s="289"/>
      <c r="B131" s="289"/>
      <c r="C131" s="289"/>
      <c r="D131" s="289"/>
      <c r="E131" s="289"/>
      <c r="F131" s="289"/>
      <c r="G131" s="289"/>
      <c r="H131" s="132" t="s">
        <v>94</v>
      </c>
      <c r="I131" s="168">
        <f>I80</f>
        <v>1812.62</v>
      </c>
      <c r="J131" s="132" t="s">
        <v>94</v>
      </c>
      <c r="K131" s="168">
        <f>K80</f>
        <v>1764.22</v>
      </c>
      <c r="L131" s="132" t="s">
        <v>94</v>
      </c>
      <c r="M131" s="168">
        <f>M80</f>
        <v>1801.62</v>
      </c>
      <c r="N131" s="132" t="s">
        <v>94</v>
      </c>
      <c r="O131" s="168">
        <f>O80</f>
        <v>1803.82</v>
      </c>
      <c r="P131" s="132" t="s">
        <v>94</v>
      </c>
      <c r="Q131" s="168">
        <f>Q80</f>
        <v>1777.42</v>
      </c>
      <c r="R131" s="132" t="s">
        <v>94</v>
      </c>
      <c r="S131" s="168">
        <f>S80</f>
        <v>1803.82</v>
      </c>
    </row>
    <row r="132" spans="1:19">
      <c r="A132" s="289"/>
      <c r="B132" s="289"/>
      <c r="C132" s="289"/>
      <c r="D132" s="289"/>
      <c r="E132" s="289"/>
      <c r="F132" s="289"/>
      <c r="G132" s="289"/>
      <c r="H132" s="132" t="s">
        <v>95</v>
      </c>
      <c r="I132" s="168">
        <f>I89</f>
        <v>59.75</v>
      </c>
      <c r="J132" s="132" t="s">
        <v>95</v>
      </c>
      <c r="K132" s="168">
        <f>K89</f>
        <v>59.75</v>
      </c>
      <c r="L132" s="132" t="s">
        <v>95</v>
      </c>
      <c r="M132" s="168">
        <f>M89</f>
        <v>59.75</v>
      </c>
      <c r="N132" s="132" t="s">
        <v>95</v>
      </c>
      <c r="O132" s="168">
        <f>O89</f>
        <v>59.75</v>
      </c>
      <c r="P132" s="132" t="s">
        <v>95</v>
      </c>
      <c r="Q132" s="168">
        <f>Q89</f>
        <v>59.75</v>
      </c>
      <c r="R132" s="132" t="s">
        <v>95</v>
      </c>
      <c r="S132" s="168">
        <f>S89</f>
        <v>59.75</v>
      </c>
    </row>
    <row r="133" spans="1:19">
      <c r="A133" s="289"/>
      <c r="B133" s="289"/>
      <c r="C133" s="289"/>
      <c r="D133" s="289"/>
      <c r="E133" s="289"/>
      <c r="F133" s="289"/>
      <c r="G133" s="289"/>
      <c r="H133" s="132" t="s">
        <v>96</v>
      </c>
      <c r="I133" s="168">
        <f>I117</f>
        <v>87.03</v>
      </c>
      <c r="J133" s="132" t="s">
        <v>96</v>
      </c>
      <c r="K133" s="168">
        <f>K117</f>
        <v>85.88</v>
      </c>
      <c r="L133" s="132" t="s">
        <v>96</v>
      </c>
      <c r="M133" s="168">
        <f>M117</f>
        <v>86.77</v>
      </c>
      <c r="N133" s="132" t="s">
        <v>96</v>
      </c>
      <c r="O133" s="168">
        <f>O117</f>
        <v>86.81</v>
      </c>
      <c r="P133" s="132" t="s">
        <v>96</v>
      </c>
      <c r="Q133" s="168">
        <f>Q117</f>
        <v>86.19</v>
      </c>
      <c r="R133" s="132" t="s">
        <v>96</v>
      </c>
      <c r="S133" s="168">
        <f>S117</f>
        <v>86.81</v>
      </c>
    </row>
    <row r="134" spans="1:19">
      <c r="A134" s="289"/>
      <c r="B134" s="289"/>
      <c r="C134" s="289"/>
      <c r="D134" s="289"/>
      <c r="E134" s="289"/>
      <c r="F134" s="289"/>
      <c r="G134" s="289"/>
      <c r="H134" s="132" t="s">
        <v>97</v>
      </c>
      <c r="I134" s="82">
        <f>I129</f>
        <v>41.27</v>
      </c>
      <c r="J134" s="132" t="s">
        <v>97</v>
      </c>
      <c r="K134" s="82">
        <f>K129</f>
        <v>55.48</v>
      </c>
      <c r="L134" s="132" t="s">
        <v>97</v>
      </c>
      <c r="M134" s="82">
        <f>M129</f>
        <v>44.03</v>
      </c>
      <c r="N134" s="132" t="s">
        <v>97</v>
      </c>
      <c r="O134" s="82">
        <f>O129</f>
        <v>45.42</v>
      </c>
      <c r="P134" s="132" t="s">
        <v>97</v>
      </c>
      <c r="Q134" s="82">
        <f>Q129</f>
        <v>49.13</v>
      </c>
      <c r="R134" s="132" t="s">
        <v>97</v>
      </c>
      <c r="S134" s="82">
        <f>S129</f>
        <v>55.48</v>
      </c>
    </row>
    <row r="135" spans="1:19">
      <c r="A135" s="289"/>
      <c r="B135" s="289"/>
      <c r="C135" s="289"/>
      <c r="D135" s="289"/>
      <c r="E135" s="289"/>
      <c r="F135" s="289"/>
      <c r="G135" s="289"/>
      <c r="H135" s="132" t="s">
        <v>85</v>
      </c>
      <c r="I135" s="82">
        <f>SUM(I130:I134)</f>
        <v>3807.2</v>
      </c>
      <c r="J135" s="132" t="s">
        <v>85</v>
      </c>
      <c r="K135" s="82">
        <f>SUM(K130:K134)</f>
        <v>3771.86</v>
      </c>
      <c r="L135" s="132" t="s">
        <v>85</v>
      </c>
      <c r="M135" s="82">
        <f>SUM(M130:M134)</f>
        <v>3798.7</v>
      </c>
      <c r="N135" s="132" t="s">
        <v>85</v>
      </c>
      <c r="O135" s="82">
        <f>SUM(O130:O134)</f>
        <v>3802.33</v>
      </c>
      <c r="P135" s="132" t="s">
        <v>85</v>
      </c>
      <c r="Q135" s="82">
        <f>SUM(Q130:Q134)</f>
        <v>3779.02</v>
      </c>
      <c r="R135" s="132" t="s">
        <v>85</v>
      </c>
      <c r="S135" s="82">
        <f>SUM(S130:S134)</f>
        <v>3812.39</v>
      </c>
    </row>
    <row r="136" spans="1:19" ht="24" customHeight="1">
      <c r="A136" s="88" t="s">
        <v>149</v>
      </c>
      <c r="B136" s="88"/>
      <c r="C136" s="88"/>
      <c r="D136" s="88"/>
      <c r="E136" s="88"/>
      <c r="F136" s="88"/>
      <c r="G136" s="88"/>
      <c r="H136" s="89"/>
      <c r="I136" s="90"/>
      <c r="J136" s="89"/>
      <c r="K136" s="90"/>
      <c r="L136" s="89"/>
      <c r="M136" s="90"/>
      <c r="N136" s="89"/>
      <c r="O136" s="90"/>
      <c r="P136" s="89"/>
      <c r="Q136" s="90"/>
      <c r="R136" s="89"/>
      <c r="S136" s="90"/>
    </row>
    <row r="137" spans="1:19">
      <c r="A137" s="66">
        <v>6</v>
      </c>
      <c r="B137" s="290" t="s">
        <v>150</v>
      </c>
      <c r="C137" s="290"/>
      <c r="D137" s="290"/>
      <c r="E137" s="290"/>
      <c r="F137" s="290"/>
      <c r="G137" s="290"/>
      <c r="H137" s="67" t="s">
        <v>78</v>
      </c>
      <c r="I137" s="68" t="s">
        <v>79</v>
      </c>
      <c r="J137" s="67" t="s">
        <v>78</v>
      </c>
      <c r="K137" s="68" t="s">
        <v>79</v>
      </c>
      <c r="L137" s="67" t="s">
        <v>78</v>
      </c>
      <c r="M137" s="68" t="s">
        <v>79</v>
      </c>
      <c r="N137" s="67" t="s">
        <v>78</v>
      </c>
      <c r="O137" s="68" t="s">
        <v>79</v>
      </c>
      <c r="P137" s="67" t="s">
        <v>78</v>
      </c>
      <c r="Q137" s="68" t="s">
        <v>79</v>
      </c>
      <c r="R137" s="67" t="s">
        <v>78</v>
      </c>
      <c r="S137" s="68" t="s">
        <v>79</v>
      </c>
    </row>
    <row r="138" spans="1:19">
      <c r="A138" s="69" t="s">
        <v>58</v>
      </c>
      <c r="B138" s="291" t="s">
        <v>151</v>
      </c>
      <c r="C138" s="292"/>
      <c r="D138" s="292"/>
      <c r="E138" s="292"/>
      <c r="F138" s="292"/>
      <c r="G138" s="293"/>
      <c r="H138" s="124">
        <f>'DADOS BÁSICOS 5º ANO'!$S8</f>
        <v>0.05</v>
      </c>
      <c r="I138" s="71">
        <f>(H138*I135)</f>
        <v>190.36</v>
      </c>
      <c r="J138" s="124">
        <f>'DADOS BÁSICOS 5º ANO'!$S9</f>
        <v>0.05</v>
      </c>
      <c r="K138" s="71">
        <f>(J138*K135)</f>
        <v>188.59</v>
      </c>
      <c r="L138" s="124">
        <f>'DADOS BÁSICOS 5º ANO'!$S10</f>
        <v>0.05</v>
      </c>
      <c r="M138" s="71">
        <f>(L138*M135)</f>
        <v>189.94</v>
      </c>
      <c r="N138" s="124">
        <f>'DADOS BÁSICOS 5º ANO'!$S11</f>
        <v>0.05</v>
      </c>
      <c r="O138" s="71">
        <f>(N138*O135)</f>
        <v>190.12</v>
      </c>
      <c r="P138" s="124">
        <f>'DADOS BÁSICOS 5º ANO'!$S12</f>
        <v>0.05</v>
      </c>
      <c r="Q138" s="71">
        <f>(P138*Q135)</f>
        <v>188.95</v>
      </c>
      <c r="R138" s="124">
        <f>'DADOS BÁSICOS 5º ANO'!$S13</f>
        <v>0.05</v>
      </c>
      <c r="S138" s="71">
        <f>(R138*S135)</f>
        <v>190.62</v>
      </c>
    </row>
    <row r="139" spans="1:19">
      <c r="A139" s="69" t="s">
        <v>60</v>
      </c>
      <c r="B139" s="291" t="s">
        <v>152</v>
      </c>
      <c r="C139" s="292"/>
      <c r="D139" s="292"/>
      <c r="E139" s="292"/>
      <c r="F139" s="292"/>
      <c r="G139" s="293"/>
      <c r="H139" s="124">
        <f>'DADOS BÁSICOS 5º ANO'!$T8</f>
        <v>0.05</v>
      </c>
      <c r="I139" s="71">
        <f>H139*(I135+I138)</f>
        <v>199.88</v>
      </c>
      <c r="J139" s="124">
        <f>'DADOS BÁSICOS 5º ANO'!$T9</f>
        <v>0.05</v>
      </c>
      <c r="K139" s="71">
        <f>J139*(K135+K138)</f>
        <v>198.02</v>
      </c>
      <c r="L139" s="124">
        <f>'DADOS BÁSICOS 5º ANO'!$T10</f>
        <v>0.05</v>
      </c>
      <c r="M139" s="71">
        <f>L139*(M135+M138)</f>
        <v>199.43</v>
      </c>
      <c r="N139" s="124">
        <f>'DADOS BÁSICOS 5º ANO'!$T11</f>
        <v>0.05</v>
      </c>
      <c r="O139" s="71">
        <f>N139*(O135+O138)</f>
        <v>199.62</v>
      </c>
      <c r="P139" s="124">
        <f>'DADOS BÁSICOS 5º ANO'!$T12</f>
        <v>0.05</v>
      </c>
      <c r="Q139" s="71">
        <f>P139*(Q135+Q138)</f>
        <v>198.4</v>
      </c>
      <c r="R139" s="124">
        <f>'DADOS BÁSICOS 5º ANO'!$T13</f>
        <v>0.05</v>
      </c>
      <c r="S139" s="71">
        <f>R139*(S135+S138)</f>
        <v>200.15</v>
      </c>
    </row>
    <row r="140" spans="1:19">
      <c r="A140" s="69" t="s">
        <v>62</v>
      </c>
      <c r="B140" s="294" t="s">
        <v>153</v>
      </c>
      <c r="C140" s="294"/>
      <c r="D140" s="294"/>
      <c r="E140" s="294"/>
      <c r="F140" s="294"/>
      <c r="G140" s="294"/>
      <c r="H140" s="169">
        <f>SUM(H141+H142+H143)</f>
        <v>8.6499999999999994E-2</v>
      </c>
      <c r="I140" s="170">
        <f>SUM(I141:I143)</f>
        <v>397.47</v>
      </c>
      <c r="J140" s="169">
        <f>SUM(J141+J142+J143)</f>
        <v>8.6499999999999994E-2</v>
      </c>
      <c r="K140" s="170">
        <f>SUM(K141:K143)</f>
        <v>393.77</v>
      </c>
      <c r="L140" s="169">
        <f>SUM(L141+L142+L143)</f>
        <v>7.6499999999999999E-2</v>
      </c>
      <c r="M140" s="170">
        <f>SUM(M141:M143)</f>
        <v>346.93</v>
      </c>
      <c r="N140" s="169">
        <f>SUM(N141+N142+N143)</f>
        <v>6.6500000000000004E-2</v>
      </c>
      <c r="O140" s="170">
        <f>SUM(O141:O143)</f>
        <v>298.63</v>
      </c>
      <c r="P140" s="169">
        <f>SUM(P141+P142+P143)</f>
        <v>7.6499999999999999E-2</v>
      </c>
      <c r="Q140" s="170">
        <f>SUM(Q141:Q143)</f>
        <v>345.13</v>
      </c>
      <c r="R140" s="169">
        <f>SUM(R141+R142+R143)</f>
        <v>8.6499999999999994E-2</v>
      </c>
      <c r="S140" s="170">
        <f>SUM(S141:S143)</f>
        <v>398</v>
      </c>
    </row>
    <row r="141" spans="1:19" ht="12.75" customHeight="1">
      <c r="A141" s="154"/>
      <c r="B141" s="286" t="s">
        <v>154</v>
      </c>
      <c r="C141" s="286"/>
      <c r="D141" s="286"/>
      <c r="E141" s="286"/>
      <c r="F141" s="286"/>
      <c r="G141" s="286"/>
      <c r="H141" s="127">
        <f>IF('DADOS BÁSICOS 5º ANO'!$B$25="LUCRO PRESUMIDO",'DADOS BÁSICOS 5º ANO'!$B$28,'DADOS BÁSICOS 5º ANO'!$C$28)</f>
        <v>0.03</v>
      </c>
      <c r="I141" s="71">
        <f>SUM(H141*I154)</f>
        <v>137.85</v>
      </c>
      <c r="J141" s="127">
        <f>IF('DADOS BÁSICOS 5º ANO'!$B$25="LUCRO PRESUMIDO",'DADOS BÁSICOS 5º ANO'!$B$28,'DADOS BÁSICOS 5º ANO'!$C$28)</f>
        <v>0.03</v>
      </c>
      <c r="K141" s="71">
        <f>SUM(J141*K154)</f>
        <v>136.57</v>
      </c>
      <c r="L141" s="127">
        <f>IF('DADOS BÁSICOS 5º ANO'!$B$25="LUCRO PRESUMIDO",'DADOS BÁSICOS 5º ANO'!$B$28,'DADOS BÁSICOS 5º ANO'!$C$28)</f>
        <v>0.03</v>
      </c>
      <c r="M141" s="71">
        <f>SUM(L141*M154)</f>
        <v>136.05000000000001</v>
      </c>
      <c r="N141" s="127">
        <f>IF('DADOS BÁSICOS 5º ANO'!$B$25="LUCRO PRESUMIDO",'DADOS BÁSICOS 5º ANO'!$B$28,'DADOS BÁSICOS 5º ANO'!$C$28)</f>
        <v>0.03</v>
      </c>
      <c r="O141" s="71">
        <f>SUM(N141*O154)</f>
        <v>134.72</v>
      </c>
      <c r="P141" s="127">
        <f>IF('DADOS BÁSICOS 5º ANO'!$B$25="LUCRO PRESUMIDO",'DADOS BÁSICOS 5º ANO'!$B$28,'DADOS BÁSICOS 5º ANO'!$C$28)</f>
        <v>0.03</v>
      </c>
      <c r="Q141" s="71">
        <f>SUM(P141*Q154)</f>
        <v>135.35</v>
      </c>
      <c r="R141" s="127">
        <f>IF('DADOS BÁSICOS 5º ANO'!$B$25="LUCRO PRESUMIDO",'DADOS BÁSICOS 5º ANO'!$B$28,'DADOS BÁSICOS 5º ANO'!$C$28)</f>
        <v>0.03</v>
      </c>
      <c r="S141" s="71">
        <f>SUM(R141*S154)</f>
        <v>138.03</v>
      </c>
    </row>
    <row r="142" spans="1:19" ht="12.75" customHeight="1">
      <c r="A142" s="154"/>
      <c r="B142" s="286" t="s">
        <v>155</v>
      </c>
      <c r="C142" s="286"/>
      <c r="D142" s="286"/>
      <c r="E142" s="286"/>
      <c r="F142" s="286"/>
      <c r="G142" s="286"/>
      <c r="H142" s="127">
        <f>IF('DADOS BÁSICOS 5º ANO'!$B$25="LUCRO PRESUMIDO",'DADOS BÁSICOS 5º ANO'!$B$27,'DADOS BÁSICOS 5º ANO'!$C$27)</f>
        <v>6.4999999999999997E-3</v>
      </c>
      <c r="I142" s="71">
        <f>SUM(H142*I154)</f>
        <v>29.87</v>
      </c>
      <c r="J142" s="127">
        <f>IF('DADOS BÁSICOS 5º ANO'!$B$25="LUCRO PRESUMIDO",'DADOS BÁSICOS 5º ANO'!$B$27,'DADOS BÁSICOS 5º ANO'!$C$27)</f>
        <v>6.4999999999999997E-3</v>
      </c>
      <c r="K142" s="71">
        <f>SUM(J142*K154)</f>
        <v>29.59</v>
      </c>
      <c r="L142" s="127">
        <f>IF('DADOS BÁSICOS 5º ANO'!$B$25="LUCRO PRESUMIDO",'DADOS BÁSICOS 5º ANO'!$B$27,'DADOS BÁSICOS 5º ANO'!$C$27)</f>
        <v>6.4999999999999997E-3</v>
      </c>
      <c r="M142" s="71">
        <f>SUM(L142*M154)</f>
        <v>29.48</v>
      </c>
      <c r="N142" s="127">
        <f>IF('DADOS BÁSICOS 5º ANO'!$B$25="LUCRO PRESUMIDO",'DADOS BÁSICOS 5º ANO'!$B$27,'DADOS BÁSICOS 5º ANO'!$C$27)</f>
        <v>6.4999999999999997E-3</v>
      </c>
      <c r="O142" s="71">
        <f>SUM(N142*O154)</f>
        <v>29.19</v>
      </c>
      <c r="P142" s="127">
        <f>IF('DADOS BÁSICOS 5º ANO'!$B$25="LUCRO PRESUMIDO",'DADOS BÁSICOS 5º ANO'!$B$27,'DADOS BÁSICOS 5º ANO'!$C$27)</f>
        <v>6.4999999999999997E-3</v>
      </c>
      <c r="Q142" s="71">
        <f>SUM(P142*Q154)</f>
        <v>29.32</v>
      </c>
      <c r="R142" s="127">
        <f>IF('DADOS BÁSICOS 5º ANO'!$B$25="LUCRO PRESUMIDO",'DADOS BÁSICOS 5º ANO'!$B$27,'DADOS BÁSICOS 5º ANO'!$C$27)</f>
        <v>6.4999999999999997E-3</v>
      </c>
      <c r="S142" s="71">
        <f>SUM(R142*S154)</f>
        <v>29.91</v>
      </c>
    </row>
    <row r="143" spans="1:19" ht="12.75" customHeight="1">
      <c r="A143" s="154"/>
      <c r="B143" s="286" t="s">
        <v>156</v>
      </c>
      <c r="C143" s="286"/>
      <c r="D143" s="286"/>
      <c r="E143" s="286"/>
      <c r="F143" s="286"/>
      <c r="G143" s="286"/>
      <c r="H143" s="127">
        <f>'DADOS BÁSICOS 5º ANO'!U8</f>
        <v>0.05</v>
      </c>
      <c r="I143" s="71">
        <f>SUM(H143*I154)</f>
        <v>229.75</v>
      </c>
      <c r="J143" s="127">
        <f>'DADOS BÁSICOS 5º ANO'!U9</f>
        <v>0.05</v>
      </c>
      <c r="K143" s="71">
        <f>SUM(J143*K154)</f>
        <v>227.61</v>
      </c>
      <c r="L143" s="127">
        <f>'DADOS BÁSICOS 5º ANO'!U10</f>
        <v>0.04</v>
      </c>
      <c r="M143" s="71">
        <f>SUM(L143*M154)</f>
        <v>181.4</v>
      </c>
      <c r="N143" s="127">
        <f>'DADOS BÁSICOS 5º ANO'!U11</f>
        <v>0.03</v>
      </c>
      <c r="O143" s="71">
        <f>SUM(N143*O154)</f>
        <v>134.72</v>
      </c>
      <c r="P143" s="127">
        <f>'DADOS BÁSICOS 5º ANO'!U12</f>
        <v>0.04</v>
      </c>
      <c r="Q143" s="71">
        <f>SUM(P143*Q154)</f>
        <v>180.46</v>
      </c>
      <c r="R143" s="127">
        <f>'DADOS BÁSICOS 5º ANO'!U13</f>
        <v>0.05</v>
      </c>
      <c r="S143" s="71">
        <f>SUM(R143*S154)</f>
        <v>230.06</v>
      </c>
    </row>
    <row r="144" spans="1:19">
      <c r="A144" s="287" t="s">
        <v>85</v>
      </c>
      <c r="B144" s="287"/>
      <c r="C144" s="287"/>
      <c r="D144" s="287"/>
      <c r="E144" s="287"/>
      <c r="F144" s="287"/>
      <c r="G144" s="287"/>
      <c r="H144" s="171"/>
      <c r="I144" s="80">
        <f>SUM(I138+I139+I141+I142+I143)</f>
        <v>787.71</v>
      </c>
      <c r="J144" s="171"/>
      <c r="K144" s="80">
        <f>SUM(K138+K139+K141+K142+K143)</f>
        <v>780.38</v>
      </c>
      <c r="L144" s="171"/>
      <c r="M144" s="80">
        <f>SUM(M138+M139+M141+M142+M143)</f>
        <v>736.3</v>
      </c>
      <c r="N144" s="171"/>
      <c r="O144" s="80">
        <f>SUM(O138+O139+O141+O142+O143)</f>
        <v>688.37</v>
      </c>
      <c r="P144" s="171"/>
      <c r="Q144" s="80">
        <f>SUM(Q138+Q139+Q141+Q142+Q143)</f>
        <v>732.48</v>
      </c>
      <c r="R144" s="171"/>
      <c r="S144" s="80">
        <f>SUM(S138+S139+S141+S142+S143)</f>
        <v>788.77</v>
      </c>
    </row>
    <row r="145" spans="1:19" ht="19.5" customHeight="1">
      <c r="A145" s="172" t="s">
        <v>157</v>
      </c>
      <c r="B145" s="173"/>
      <c r="C145" s="173"/>
      <c r="D145" s="173"/>
      <c r="E145" s="173"/>
      <c r="F145" s="173"/>
      <c r="G145" s="173"/>
      <c r="H145" s="174"/>
      <c r="I145" s="175"/>
      <c r="J145" s="174"/>
      <c r="K145" s="175"/>
      <c r="L145" s="174"/>
      <c r="M145" s="175"/>
      <c r="N145" s="174"/>
      <c r="O145" s="175"/>
      <c r="P145" s="174"/>
      <c r="Q145" s="175"/>
      <c r="R145" s="174"/>
      <c r="S145" s="175"/>
    </row>
    <row r="146" spans="1:19" ht="12.75" customHeight="1">
      <c r="A146" s="288" t="s">
        <v>158</v>
      </c>
      <c r="B146" s="288"/>
      <c r="C146" s="288"/>
      <c r="D146" s="288"/>
      <c r="E146" s="288"/>
      <c r="F146" s="288"/>
      <c r="G146" s="288"/>
      <c r="H146" s="148"/>
      <c r="I146" s="84" t="s">
        <v>79</v>
      </c>
      <c r="J146" s="148"/>
      <c r="K146" s="84" t="s">
        <v>79</v>
      </c>
      <c r="L146" s="148"/>
      <c r="M146" s="84" t="s">
        <v>79</v>
      </c>
      <c r="N146" s="148"/>
      <c r="O146" s="84" t="s">
        <v>79</v>
      </c>
      <c r="P146" s="148"/>
      <c r="Q146" s="84" t="s">
        <v>79</v>
      </c>
      <c r="R146" s="148"/>
      <c r="S146" s="84" t="s">
        <v>79</v>
      </c>
    </row>
    <row r="147" spans="1:19" ht="12.75" customHeight="1">
      <c r="A147" s="176" t="s">
        <v>58</v>
      </c>
      <c r="B147" s="284" t="s">
        <v>159</v>
      </c>
      <c r="C147" s="284"/>
      <c r="D147" s="284"/>
      <c r="E147" s="284"/>
      <c r="F147" s="284"/>
      <c r="G147" s="284"/>
      <c r="H147" s="48"/>
      <c r="I147" s="177">
        <f>I29</f>
        <v>1806.53</v>
      </c>
      <c r="J147" s="48"/>
      <c r="K147" s="177">
        <f>K29</f>
        <v>1806.53</v>
      </c>
      <c r="L147" s="48"/>
      <c r="M147" s="177">
        <f>M29</f>
        <v>1806.53</v>
      </c>
      <c r="N147" s="48"/>
      <c r="O147" s="177">
        <f>O29</f>
        <v>1806.53</v>
      </c>
      <c r="P147" s="48"/>
      <c r="Q147" s="177">
        <f>Q29</f>
        <v>1806.53</v>
      </c>
      <c r="R147" s="48"/>
      <c r="S147" s="177">
        <f>S29</f>
        <v>1806.53</v>
      </c>
    </row>
    <row r="148" spans="1:19" ht="12.75" customHeight="1">
      <c r="A148" s="176" t="s">
        <v>60</v>
      </c>
      <c r="B148" s="284" t="s">
        <v>121</v>
      </c>
      <c r="C148" s="284"/>
      <c r="D148" s="284"/>
      <c r="E148" s="284"/>
      <c r="F148" s="284"/>
      <c r="G148" s="284"/>
      <c r="H148" s="178"/>
      <c r="I148" s="177">
        <f>I80</f>
        <v>1812.62</v>
      </c>
      <c r="J148" s="178"/>
      <c r="K148" s="177">
        <f>K80</f>
        <v>1764.22</v>
      </c>
      <c r="L148" s="178"/>
      <c r="M148" s="177">
        <f>M80</f>
        <v>1801.62</v>
      </c>
      <c r="N148" s="178"/>
      <c r="O148" s="177">
        <f>O80</f>
        <v>1803.82</v>
      </c>
      <c r="P148" s="178"/>
      <c r="Q148" s="177">
        <f>Q80</f>
        <v>1777.42</v>
      </c>
      <c r="R148" s="178"/>
      <c r="S148" s="177">
        <f>S80</f>
        <v>1803.82</v>
      </c>
    </row>
    <row r="149" spans="1:19" ht="12.75" customHeight="1">
      <c r="A149" s="176" t="s">
        <v>62</v>
      </c>
      <c r="B149" s="284" t="s">
        <v>160</v>
      </c>
      <c r="C149" s="284"/>
      <c r="D149" s="284"/>
      <c r="E149" s="284"/>
      <c r="F149" s="284"/>
      <c r="G149" s="284"/>
      <c r="H149" s="178"/>
      <c r="I149" s="177">
        <f>I89</f>
        <v>59.75</v>
      </c>
      <c r="J149" s="178"/>
      <c r="K149" s="177">
        <f>K89</f>
        <v>59.75</v>
      </c>
      <c r="L149" s="178"/>
      <c r="M149" s="177">
        <f>M89</f>
        <v>59.75</v>
      </c>
      <c r="N149" s="178"/>
      <c r="O149" s="177">
        <f>O89</f>
        <v>59.75</v>
      </c>
      <c r="P149" s="178"/>
      <c r="Q149" s="177">
        <f>Q89</f>
        <v>59.75</v>
      </c>
      <c r="R149" s="178"/>
      <c r="S149" s="177">
        <f>S89</f>
        <v>59.75</v>
      </c>
    </row>
    <row r="150" spans="1:19" ht="12.75" customHeight="1">
      <c r="A150" s="176" t="s">
        <v>64</v>
      </c>
      <c r="B150" s="284" t="s">
        <v>144</v>
      </c>
      <c r="C150" s="284"/>
      <c r="D150" s="284"/>
      <c r="E150" s="284"/>
      <c r="F150" s="284"/>
      <c r="G150" s="284"/>
      <c r="H150" s="178"/>
      <c r="I150" s="177">
        <f>I117</f>
        <v>87.03</v>
      </c>
      <c r="J150" s="178"/>
      <c r="K150" s="177">
        <f>K117</f>
        <v>85.88</v>
      </c>
      <c r="L150" s="178"/>
      <c r="M150" s="177">
        <f>M117</f>
        <v>86.77</v>
      </c>
      <c r="N150" s="178"/>
      <c r="O150" s="177">
        <f>O117</f>
        <v>86.81</v>
      </c>
      <c r="P150" s="178"/>
      <c r="Q150" s="177">
        <f>Q117</f>
        <v>86.19</v>
      </c>
      <c r="R150" s="178"/>
      <c r="S150" s="177">
        <f>S117</f>
        <v>86.81</v>
      </c>
    </row>
    <row r="151" spans="1:19" ht="12.75" customHeight="1">
      <c r="A151" s="176" t="s">
        <v>66</v>
      </c>
      <c r="B151" s="284" t="s">
        <v>161</v>
      </c>
      <c r="C151" s="284"/>
      <c r="D151" s="284"/>
      <c r="E151" s="284"/>
      <c r="F151" s="284"/>
      <c r="G151" s="284"/>
      <c r="H151" s="178"/>
      <c r="I151" s="177">
        <f>I129</f>
        <v>41.27</v>
      </c>
      <c r="J151" s="178"/>
      <c r="K151" s="177">
        <f>K129</f>
        <v>55.48</v>
      </c>
      <c r="L151" s="178"/>
      <c r="M151" s="177">
        <f>M129</f>
        <v>44.03</v>
      </c>
      <c r="N151" s="178"/>
      <c r="O151" s="177">
        <f>O129</f>
        <v>45.42</v>
      </c>
      <c r="P151" s="178"/>
      <c r="Q151" s="177">
        <f>Q129</f>
        <v>49.13</v>
      </c>
      <c r="R151" s="178"/>
      <c r="S151" s="177">
        <f>S129</f>
        <v>55.48</v>
      </c>
    </row>
    <row r="152" spans="1:19" ht="16.5" customHeight="1">
      <c r="A152" s="285" t="s">
        <v>162</v>
      </c>
      <c r="B152" s="285"/>
      <c r="C152" s="285"/>
      <c r="D152" s="285"/>
      <c r="E152" s="285"/>
      <c r="F152" s="285"/>
      <c r="G152" s="285"/>
      <c r="H152" s="179"/>
      <c r="I152" s="180">
        <f>SUM(I147:I151)</f>
        <v>3807.2</v>
      </c>
      <c r="J152" s="179"/>
      <c r="K152" s="180">
        <f>SUM(K147:K151)</f>
        <v>3771.86</v>
      </c>
      <c r="L152" s="179"/>
      <c r="M152" s="180">
        <f>SUM(M147:M151)</f>
        <v>3798.7</v>
      </c>
      <c r="N152" s="179"/>
      <c r="O152" s="180">
        <f>SUM(O147:O151)</f>
        <v>3802.33</v>
      </c>
      <c r="P152" s="179"/>
      <c r="Q152" s="180">
        <f>SUM(Q147:Q151)</f>
        <v>3779.02</v>
      </c>
      <c r="R152" s="179"/>
      <c r="S152" s="180">
        <f>SUM(S147:S151)</f>
        <v>3812.39</v>
      </c>
    </row>
    <row r="153" spans="1:19" ht="12.75" customHeight="1">
      <c r="A153" s="181" t="s">
        <v>84</v>
      </c>
      <c r="B153" s="286" t="s">
        <v>163</v>
      </c>
      <c r="C153" s="286"/>
      <c r="D153" s="286"/>
      <c r="E153" s="286"/>
      <c r="F153" s="286"/>
      <c r="G153" s="286"/>
      <c r="H153" s="48"/>
      <c r="I153" s="182">
        <f>I144</f>
        <v>787.71</v>
      </c>
      <c r="J153" s="48"/>
      <c r="K153" s="182">
        <f>K144</f>
        <v>780.38</v>
      </c>
      <c r="L153" s="48"/>
      <c r="M153" s="182">
        <f>M144</f>
        <v>736.3</v>
      </c>
      <c r="N153" s="48"/>
      <c r="O153" s="182">
        <f>O144</f>
        <v>688.37</v>
      </c>
      <c r="P153" s="48"/>
      <c r="Q153" s="182">
        <f>Q144</f>
        <v>732.48</v>
      </c>
      <c r="R153" s="48"/>
      <c r="S153" s="182">
        <f>S144</f>
        <v>788.77</v>
      </c>
    </row>
    <row r="154" spans="1:19" ht="16.5" customHeight="1" thickBot="1">
      <c r="A154" s="285" t="s">
        <v>164</v>
      </c>
      <c r="B154" s="285"/>
      <c r="C154" s="285"/>
      <c r="D154" s="285"/>
      <c r="E154" s="285"/>
      <c r="F154" s="285"/>
      <c r="G154" s="285"/>
      <c r="H154" s="183"/>
      <c r="I154" s="184">
        <f>SUM(I152+I138+I139)/(1-H140)</f>
        <v>4594.8999999999996</v>
      </c>
      <c r="J154" s="183"/>
      <c r="K154" s="184">
        <f>SUM(K152+K138+K139)/(1-J140)</f>
        <v>4552.24</v>
      </c>
      <c r="L154" s="183"/>
      <c r="M154" s="184">
        <f>SUM(M152+M138+M139)/(1-L140)</f>
        <v>4535</v>
      </c>
      <c r="N154" s="183"/>
      <c r="O154" s="184">
        <f>SUM(O152+O138+O139)/(1-N140)</f>
        <v>4490.7</v>
      </c>
      <c r="P154" s="183"/>
      <c r="Q154" s="184">
        <f>SUM(Q152+Q138+Q139)/(1-P140)</f>
        <v>4511.5</v>
      </c>
      <c r="R154" s="183"/>
      <c r="S154" s="184">
        <f>SUM(S152+S138+S139)/(1-R140)</f>
        <v>4601.16</v>
      </c>
    </row>
    <row r="155" spans="1:19" ht="19.5" customHeight="1">
      <c r="A155" s="172" t="s">
        <v>165</v>
      </c>
      <c r="B155" s="185"/>
      <c r="C155" s="185"/>
      <c r="D155" s="185"/>
      <c r="E155" s="185"/>
      <c r="F155" s="185"/>
      <c r="G155" s="185"/>
      <c r="H155" s="186" t="s">
        <v>166</v>
      </c>
      <c r="I155" s="185" t="s">
        <v>79</v>
      </c>
      <c r="J155" s="186" t="s">
        <v>166</v>
      </c>
      <c r="K155" s="185" t="s">
        <v>79</v>
      </c>
      <c r="L155" s="186" t="s">
        <v>166</v>
      </c>
      <c r="M155" s="185" t="s">
        <v>79</v>
      </c>
      <c r="N155" s="186" t="s">
        <v>166</v>
      </c>
      <c r="O155" s="185" t="s">
        <v>79</v>
      </c>
      <c r="P155" s="186" t="s">
        <v>166</v>
      </c>
      <c r="Q155" s="185" t="s">
        <v>79</v>
      </c>
      <c r="R155" s="186" t="s">
        <v>166</v>
      </c>
      <c r="S155" s="185" t="s">
        <v>79</v>
      </c>
    </row>
    <row r="156" spans="1:19">
      <c r="A156" s="43" t="s">
        <v>198</v>
      </c>
      <c r="B156" s="283" t="s">
        <v>25</v>
      </c>
      <c r="C156" s="283"/>
      <c r="D156" s="283"/>
      <c r="E156" s="283"/>
      <c r="F156" s="283"/>
      <c r="G156" s="283"/>
      <c r="H156" s="187">
        <f>H11</f>
        <v>46</v>
      </c>
      <c r="I156" s="188">
        <f>H156*I154</f>
        <v>211365.4</v>
      </c>
      <c r="J156" s="187">
        <f>J11</f>
        <v>4</v>
      </c>
      <c r="K156" s="188">
        <f>J156*K154</f>
        <v>18208.96</v>
      </c>
      <c r="L156" s="187">
        <f>L11</f>
        <v>14</v>
      </c>
      <c r="M156" s="188">
        <f>L156*M154</f>
        <v>63490</v>
      </c>
      <c r="N156" s="187">
        <f>N11</f>
        <v>12</v>
      </c>
      <c r="O156" s="188">
        <f>N156*O154</f>
        <v>53888.4</v>
      </c>
      <c r="P156" s="187">
        <f>P11</f>
        <v>6</v>
      </c>
      <c r="Q156" s="188">
        <f>P156*Q154</f>
        <v>27069</v>
      </c>
      <c r="R156" s="187">
        <f>R11</f>
        <v>4</v>
      </c>
      <c r="S156" s="188">
        <f>R156*S154</f>
        <v>18404.64</v>
      </c>
    </row>
    <row r="157" spans="1:19">
      <c r="I157" s="35"/>
    </row>
    <row r="158" spans="1:19">
      <c r="I158" s="164"/>
    </row>
    <row r="159" spans="1:19">
      <c r="I159" s="164"/>
    </row>
    <row r="160" spans="1: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z5QIznRhsepdncy4fvrDzTHPak2i/UeKju3WuGhA651+eDZjklVY++ZPlxeRKNy41mvdvcyUD8jfUe0ByPS5CA==" saltValue="w01/5Yed6ikGxD1C3jQnnQ==" spinCount="100000" sheet="1" objects="1" scenarios="1"/>
  <mergeCells count="223">
    <mergeCell ref="A1:S1"/>
    <mergeCell ref="A2:S2"/>
    <mergeCell ref="A3:S3"/>
    <mergeCell ref="A4:S4"/>
    <mergeCell ref="A5:I5"/>
    <mergeCell ref="A6:S6"/>
    <mergeCell ref="R7:S7"/>
    <mergeCell ref="B8:G8"/>
    <mergeCell ref="H8:I8"/>
    <mergeCell ref="J8:K8"/>
    <mergeCell ref="L8:M8"/>
    <mergeCell ref="N8:O8"/>
    <mergeCell ref="P8:Q8"/>
    <mergeCell ref="R8:S8"/>
    <mergeCell ref="B7:G7"/>
    <mergeCell ref="H7:I7"/>
    <mergeCell ref="J7:K7"/>
    <mergeCell ref="L7:M7"/>
    <mergeCell ref="N7:O7"/>
    <mergeCell ref="P7:Q7"/>
    <mergeCell ref="R9:S9"/>
    <mergeCell ref="B10:G10"/>
    <mergeCell ref="H10:I10"/>
    <mergeCell ref="J10:K10"/>
    <mergeCell ref="L10:M10"/>
    <mergeCell ref="N10:O10"/>
    <mergeCell ref="P10:Q10"/>
    <mergeCell ref="R10:S10"/>
    <mergeCell ref="B9:G9"/>
    <mergeCell ref="H9:I9"/>
    <mergeCell ref="J9:K9"/>
    <mergeCell ref="L9:M9"/>
    <mergeCell ref="N9:O9"/>
    <mergeCell ref="P9:Q9"/>
    <mergeCell ref="R11:S11"/>
    <mergeCell ref="B13:G13"/>
    <mergeCell ref="H13:I13"/>
    <mergeCell ref="J13:K13"/>
    <mergeCell ref="L13:M13"/>
    <mergeCell ref="N13:O13"/>
    <mergeCell ref="P13:Q13"/>
    <mergeCell ref="R13:S13"/>
    <mergeCell ref="B11:G11"/>
    <mergeCell ref="H11:I11"/>
    <mergeCell ref="J11:K11"/>
    <mergeCell ref="L11:M11"/>
    <mergeCell ref="N11:O11"/>
    <mergeCell ref="P11:Q11"/>
    <mergeCell ref="R14:S14"/>
    <mergeCell ref="B15:G15"/>
    <mergeCell ref="H15:I15"/>
    <mergeCell ref="J15:K15"/>
    <mergeCell ref="L15:M15"/>
    <mergeCell ref="N15:O15"/>
    <mergeCell ref="P15:Q15"/>
    <mergeCell ref="R15:S15"/>
    <mergeCell ref="B14:G14"/>
    <mergeCell ref="H14:I14"/>
    <mergeCell ref="J14:K14"/>
    <mergeCell ref="L14:M14"/>
    <mergeCell ref="N14:O14"/>
    <mergeCell ref="P14:Q14"/>
    <mergeCell ref="R16:S16"/>
    <mergeCell ref="B17:G17"/>
    <mergeCell ref="H17:I17"/>
    <mergeCell ref="J17:K17"/>
    <mergeCell ref="L17:M17"/>
    <mergeCell ref="N17:O17"/>
    <mergeCell ref="P17:Q17"/>
    <mergeCell ref="R17:S17"/>
    <mergeCell ref="B16:G16"/>
    <mergeCell ref="H16:I16"/>
    <mergeCell ref="J16:K16"/>
    <mergeCell ref="L16:M16"/>
    <mergeCell ref="N16:O16"/>
    <mergeCell ref="P16:Q16"/>
    <mergeCell ref="R18:S18"/>
    <mergeCell ref="B19:G19"/>
    <mergeCell ref="H19:I19"/>
    <mergeCell ref="J19:K19"/>
    <mergeCell ref="L19:M19"/>
    <mergeCell ref="N19:O19"/>
    <mergeCell ref="P19:Q19"/>
    <mergeCell ref="R19:S19"/>
    <mergeCell ref="B18:G18"/>
    <mergeCell ref="H18:I18"/>
    <mergeCell ref="J18:K18"/>
    <mergeCell ref="L18:M18"/>
    <mergeCell ref="N18:O18"/>
    <mergeCell ref="P18:Q18"/>
    <mergeCell ref="R20:S20"/>
    <mergeCell ref="B22:G22"/>
    <mergeCell ref="B23:G23"/>
    <mergeCell ref="B24:G24"/>
    <mergeCell ref="B25:G25"/>
    <mergeCell ref="B26:G26"/>
    <mergeCell ref="B20:G20"/>
    <mergeCell ref="H20:I20"/>
    <mergeCell ref="J20:K20"/>
    <mergeCell ref="L20:M20"/>
    <mergeCell ref="N20:O20"/>
    <mergeCell ref="P20:Q20"/>
    <mergeCell ref="B33:G33"/>
    <mergeCell ref="C34:G34"/>
    <mergeCell ref="C35:G35"/>
    <mergeCell ref="C36:G36"/>
    <mergeCell ref="C37:G37"/>
    <mergeCell ref="C38:G38"/>
    <mergeCell ref="B27:G27"/>
    <mergeCell ref="B28:D28"/>
    <mergeCell ref="E28:G28"/>
    <mergeCell ref="A29:G29"/>
    <mergeCell ref="B31:G31"/>
    <mergeCell ref="B32:G32"/>
    <mergeCell ref="B48:G48"/>
    <mergeCell ref="B49:G49"/>
    <mergeCell ref="B50:G50"/>
    <mergeCell ref="B51:G51"/>
    <mergeCell ref="B52:G52"/>
    <mergeCell ref="B53:G53"/>
    <mergeCell ref="C39:G39"/>
    <mergeCell ref="A40:G40"/>
    <mergeCell ref="A41:G43"/>
    <mergeCell ref="B45:G45"/>
    <mergeCell ref="B46:G46"/>
    <mergeCell ref="B47:G47"/>
    <mergeCell ref="O57:O60"/>
    <mergeCell ref="Q57:Q60"/>
    <mergeCell ref="S57:S60"/>
    <mergeCell ref="B58:G58"/>
    <mergeCell ref="B59:G59"/>
    <mergeCell ref="B60:G60"/>
    <mergeCell ref="A54:G54"/>
    <mergeCell ref="B56:G56"/>
    <mergeCell ref="B57:G57"/>
    <mergeCell ref="I57:I60"/>
    <mergeCell ref="K57:K60"/>
    <mergeCell ref="M57:M60"/>
    <mergeCell ref="S61:S64"/>
    <mergeCell ref="B62:G62"/>
    <mergeCell ref="B63:G63"/>
    <mergeCell ref="B64:G64"/>
    <mergeCell ref="B65:G65"/>
    <mergeCell ref="B66:G66"/>
    <mergeCell ref="B61:G61"/>
    <mergeCell ref="I61:I64"/>
    <mergeCell ref="K61:K64"/>
    <mergeCell ref="M61:M64"/>
    <mergeCell ref="O61:O64"/>
    <mergeCell ref="Q61:Q64"/>
    <mergeCell ref="B73:G73"/>
    <mergeCell ref="A74:G74"/>
    <mergeCell ref="B76:G76"/>
    <mergeCell ref="B77:G77"/>
    <mergeCell ref="B78:G78"/>
    <mergeCell ref="B79:G79"/>
    <mergeCell ref="B67:G67"/>
    <mergeCell ref="B68:G68"/>
    <mergeCell ref="B69:G69"/>
    <mergeCell ref="B70:G70"/>
    <mergeCell ref="B71:G71"/>
    <mergeCell ref="B72:G72"/>
    <mergeCell ref="B87:G87"/>
    <mergeCell ref="B88:G88"/>
    <mergeCell ref="A89:G89"/>
    <mergeCell ref="A90:G93"/>
    <mergeCell ref="B96:G96"/>
    <mergeCell ref="B97:G97"/>
    <mergeCell ref="A80:G80"/>
    <mergeCell ref="B82:G82"/>
    <mergeCell ref="B83:G83"/>
    <mergeCell ref="B84:G84"/>
    <mergeCell ref="B85:G85"/>
    <mergeCell ref="B86:G86"/>
    <mergeCell ref="B104:G104"/>
    <mergeCell ref="B105:G105"/>
    <mergeCell ref="B106:G106"/>
    <mergeCell ref="B107:G107"/>
    <mergeCell ref="B108:G108"/>
    <mergeCell ref="A109:G109"/>
    <mergeCell ref="B98:G98"/>
    <mergeCell ref="B99:G99"/>
    <mergeCell ref="B100:G100"/>
    <mergeCell ref="B101:G101"/>
    <mergeCell ref="B102:G102"/>
    <mergeCell ref="B103:G103"/>
    <mergeCell ref="A117:G117"/>
    <mergeCell ref="B119:G119"/>
    <mergeCell ref="B120:G120"/>
    <mergeCell ref="B121:G121"/>
    <mergeCell ref="B122:G122"/>
    <mergeCell ref="B123:G123"/>
    <mergeCell ref="B110:G110"/>
    <mergeCell ref="B111:G111"/>
    <mergeCell ref="A112:G112"/>
    <mergeCell ref="B114:G114"/>
    <mergeCell ref="B115:G115"/>
    <mergeCell ref="B116:G116"/>
    <mergeCell ref="A130:G135"/>
    <mergeCell ref="B137:G137"/>
    <mergeCell ref="B138:G138"/>
    <mergeCell ref="B139:G139"/>
    <mergeCell ref="B140:G140"/>
    <mergeCell ref="B141:G141"/>
    <mergeCell ref="B124:G124"/>
    <mergeCell ref="B125:G125"/>
    <mergeCell ref="B126:G126"/>
    <mergeCell ref="B127:G127"/>
    <mergeCell ref="B128:G128"/>
    <mergeCell ref="A129:G129"/>
    <mergeCell ref="B156:G156"/>
    <mergeCell ref="B149:G149"/>
    <mergeCell ref="B150:G150"/>
    <mergeCell ref="B151:G151"/>
    <mergeCell ref="A152:G152"/>
    <mergeCell ref="B153:G153"/>
    <mergeCell ref="A154:G154"/>
    <mergeCell ref="B142:G142"/>
    <mergeCell ref="B143:G143"/>
    <mergeCell ref="A144:G144"/>
    <mergeCell ref="A146:G146"/>
    <mergeCell ref="B147:G147"/>
    <mergeCell ref="B148:G148"/>
  </mergeCells>
  <pageMargins left="0.511811024" right="0.511811024" top="0.78740157500000008" bottom="0.78740157500000008" header="0.31496062000000008" footer="0.31496062000000008"/>
  <pageSetup paperSize="9" scale="65" fitToWidth="0" fitToHeight="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D271C-C41A-4E1B-ACC3-29B9EF57BFC6}">
  <dimension ref="A1:J273"/>
  <sheetViews>
    <sheetView workbookViewId="0">
      <selection sqref="A1:I1"/>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21.7265625" style="35" customWidth="1"/>
    <col min="8" max="8" width="15.81640625" style="35" bestFit="1" customWidth="1"/>
    <col min="9" max="9" width="15.81640625" style="189" customWidth="1"/>
    <col min="10" max="10" width="11.7265625" style="35" customWidth="1"/>
    <col min="11" max="16384" width="11.7265625" style="35"/>
  </cols>
  <sheetData>
    <row r="1" spans="1:9" ht="66.75" customHeight="1">
      <c r="A1" s="385" t="s">
        <v>53</v>
      </c>
      <c r="B1" s="394"/>
      <c r="C1" s="394"/>
      <c r="D1" s="394"/>
      <c r="E1" s="394"/>
      <c r="F1" s="394"/>
      <c r="G1" s="394"/>
      <c r="H1" s="394"/>
      <c r="I1" s="395"/>
    </row>
    <row r="2" spans="1:9" ht="12.75" customHeight="1">
      <c r="A2" s="372" t="s">
        <v>287</v>
      </c>
      <c r="B2" s="388"/>
      <c r="C2" s="391" t="str">
        <f>'DADOS BÁSICOS LICITAÇÃO'!D4</f>
        <v>08385.000738/2021-44</v>
      </c>
      <c r="D2" s="388"/>
      <c r="E2" s="372"/>
      <c r="F2" s="373"/>
      <c r="G2" s="373"/>
      <c r="H2" s="373"/>
      <c r="I2" s="373"/>
    </row>
    <row r="3" spans="1:9" ht="12.75" customHeight="1">
      <c r="A3" s="372" t="s">
        <v>285</v>
      </c>
      <c r="B3" s="388"/>
      <c r="C3" s="372" t="str">
        <f>'DADOS BÁSICOS LICITAÇÃO'!E4</f>
        <v>01/2021</v>
      </c>
      <c r="D3" s="388"/>
      <c r="E3" s="372"/>
      <c r="F3" s="373"/>
      <c r="G3" s="373"/>
      <c r="H3" s="373"/>
      <c r="I3" s="373"/>
    </row>
    <row r="4" spans="1:9" ht="12.75" customHeight="1">
      <c r="A4" s="374" t="s">
        <v>288</v>
      </c>
      <c r="B4" s="389"/>
      <c r="C4" s="392">
        <f>'DADOS BÁSICOS LICITAÇÃO'!B4</f>
        <v>44358</v>
      </c>
      <c r="D4" s="389"/>
      <c r="E4" s="374"/>
      <c r="F4" s="375"/>
      <c r="G4" s="375"/>
      <c r="H4" s="375"/>
      <c r="I4" s="375"/>
    </row>
    <row r="5" spans="1:9" ht="12.75" customHeight="1">
      <c r="A5" s="390" t="s">
        <v>289</v>
      </c>
      <c r="B5" s="390"/>
      <c r="C5" s="393">
        <f>'DADOS BÁSICOS LICITAÇÃO'!C4</f>
        <v>0.39583333333333298</v>
      </c>
      <c r="D5" s="390"/>
      <c r="E5" s="376"/>
      <c r="F5" s="376"/>
      <c r="G5" s="376"/>
      <c r="H5" s="376"/>
      <c r="I5" s="376"/>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5º ANO'!$A$4</f>
        <v>44344</v>
      </c>
      <c r="I7" s="346"/>
    </row>
    <row r="8" spans="1:9" ht="12.75" customHeight="1">
      <c r="A8" s="36" t="s">
        <v>60</v>
      </c>
      <c r="B8" s="286" t="s">
        <v>61</v>
      </c>
      <c r="C8" s="286"/>
      <c r="D8" s="286"/>
      <c r="E8" s="286"/>
      <c r="F8" s="286"/>
      <c r="G8" s="286"/>
      <c r="H8" s="345" t="str">
        <f>'DADOS BÁSICOS 5º ANO'!A8</f>
        <v>Curitiba/PR</v>
      </c>
      <c r="I8" s="345"/>
    </row>
    <row r="9" spans="1:9" ht="12.75" customHeight="1">
      <c r="A9" s="36" t="s">
        <v>62</v>
      </c>
      <c r="B9" s="286" t="s">
        <v>63</v>
      </c>
      <c r="C9" s="286"/>
      <c r="D9" s="286"/>
      <c r="E9" s="286"/>
      <c r="F9" s="286"/>
      <c r="G9" s="286"/>
      <c r="H9" s="344" t="str">
        <f>'DADOS BÁSICOS 5º ANO'!D8</f>
        <v>PR000326/2021</v>
      </c>
      <c r="I9" s="344"/>
    </row>
    <row r="10" spans="1:9" ht="12.75" customHeight="1">
      <c r="A10" s="36" t="s">
        <v>64</v>
      </c>
      <c r="B10" s="286" t="s">
        <v>65</v>
      </c>
      <c r="C10" s="286"/>
      <c r="D10" s="286"/>
      <c r="E10" s="286"/>
      <c r="F10" s="286"/>
      <c r="G10" s="286"/>
      <c r="H10" s="344">
        <f>'DADOS BÁSICOS 5º ANO'!$E$17</f>
        <v>12</v>
      </c>
      <c r="I10" s="344"/>
    </row>
    <row r="11" spans="1:9" ht="12.75" customHeight="1">
      <c r="A11" s="36" t="s">
        <v>66</v>
      </c>
      <c r="B11" s="286" t="s">
        <v>67</v>
      </c>
      <c r="C11" s="286"/>
      <c r="D11" s="286"/>
      <c r="E11" s="286"/>
      <c r="F11" s="286"/>
      <c r="G11" s="286"/>
      <c r="H11" s="344">
        <f>'DADOS BÁSICOS 5º ANO'!B14</f>
        <v>2</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5º ANO'!A18</f>
        <v>4222-05</v>
      </c>
      <c r="I14" s="342"/>
    </row>
    <row r="15" spans="1:9" ht="12.75" customHeight="1">
      <c r="A15" s="36">
        <v>4</v>
      </c>
      <c r="B15" s="286" t="s">
        <v>73</v>
      </c>
      <c r="C15" s="286"/>
      <c r="D15" s="286"/>
      <c r="E15" s="286"/>
      <c r="F15" s="286"/>
      <c r="G15" s="286"/>
      <c r="H15" s="342" t="str">
        <f>'DADOS BÁSICOS 5º ANO'!B18</f>
        <v>Telefonista</v>
      </c>
      <c r="I15" s="342"/>
    </row>
    <row r="16" spans="1:9" ht="15" customHeight="1">
      <c r="A16" s="41">
        <v>5</v>
      </c>
      <c r="B16" s="286" t="s">
        <v>74</v>
      </c>
      <c r="C16" s="286"/>
      <c r="D16" s="286"/>
      <c r="E16" s="286"/>
      <c r="F16" s="286"/>
      <c r="G16" s="286"/>
      <c r="H16" s="384">
        <f>'DADOS BÁSICOS 5º ANO'!E8</f>
        <v>44228</v>
      </c>
      <c r="I16" s="384"/>
    </row>
    <row r="17" spans="1:9" ht="12.75" customHeight="1">
      <c r="A17" s="36">
        <v>3</v>
      </c>
      <c r="B17" s="286" t="s">
        <v>72</v>
      </c>
      <c r="C17" s="286"/>
      <c r="D17" s="286"/>
      <c r="E17" s="286"/>
      <c r="F17" s="286"/>
      <c r="G17" s="286"/>
      <c r="H17" s="383">
        <f>'DADOS BÁSICOS 5º ANO'!H14</f>
        <v>1415.56</v>
      </c>
      <c r="I17" s="383"/>
    </row>
    <row r="18" spans="1:9" ht="12.75" customHeight="1">
      <c r="A18" s="43">
        <v>6</v>
      </c>
      <c r="B18" s="284" t="s">
        <v>233</v>
      </c>
      <c r="C18" s="284"/>
      <c r="D18" s="284"/>
      <c r="E18" s="284"/>
      <c r="F18" s="284"/>
      <c r="G18" s="284"/>
      <c r="H18" s="382">
        <f>'DADOS BÁSICOS 5º ANO'!G14</f>
        <v>180</v>
      </c>
      <c r="I18" s="382"/>
    </row>
    <row r="19" spans="1:9" ht="12.75" customHeight="1">
      <c r="A19" s="43">
        <v>6</v>
      </c>
      <c r="B19" s="303" t="s">
        <v>234</v>
      </c>
      <c r="C19" s="303"/>
      <c r="D19" s="303"/>
      <c r="E19" s="303"/>
      <c r="F19" s="303"/>
      <c r="G19" s="284"/>
      <c r="H19" s="336">
        <f>'DADOS BÁSICOS 5º ANO'!C18</f>
        <v>150</v>
      </c>
      <c r="I19" s="337"/>
    </row>
    <row r="20" spans="1:9" ht="12.75" customHeight="1">
      <c r="A20" s="43">
        <v>7</v>
      </c>
      <c r="B20" s="284" t="s">
        <v>75</v>
      </c>
      <c r="C20" s="284"/>
      <c r="D20" s="284"/>
      <c r="E20" s="284"/>
      <c r="F20" s="284"/>
      <c r="G20" s="284"/>
      <c r="H20" s="336">
        <f>'DADOS BÁSICOS 5º ANO'!$F$17</f>
        <v>22</v>
      </c>
      <c r="I20" s="337"/>
    </row>
    <row r="21" spans="1:9">
      <c r="A21" s="44" t="s">
        <v>76</v>
      </c>
      <c r="B21" s="38"/>
      <c r="C21" s="38"/>
      <c r="D21" s="38"/>
      <c r="E21" s="38"/>
      <c r="F21" s="38"/>
      <c r="G21" s="38"/>
      <c r="H21" s="39"/>
      <c r="I21" s="40"/>
    </row>
    <row r="22" spans="1:9" ht="12.75" customHeight="1">
      <c r="A22" s="45">
        <v>1</v>
      </c>
      <c r="B22" s="288" t="s">
        <v>77</v>
      </c>
      <c r="C22" s="288"/>
      <c r="D22" s="288"/>
      <c r="E22" s="288"/>
      <c r="F22" s="288"/>
      <c r="G22" s="288"/>
      <c r="H22" s="46" t="s">
        <v>78</v>
      </c>
      <c r="I22" s="47" t="s">
        <v>79</v>
      </c>
    </row>
    <row r="23" spans="1:9" ht="12.75" customHeight="1">
      <c r="A23" s="36" t="s">
        <v>58</v>
      </c>
      <c r="B23" s="286" t="s">
        <v>235</v>
      </c>
      <c r="C23" s="286"/>
      <c r="D23" s="286"/>
      <c r="E23" s="286"/>
      <c r="F23" s="286"/>
      <c r="G23" s="286"/>
      <c r="H23" s="48"/>
      <c r="I23" s="57">
        <f>(H$17/'DADOS BÁSICOS 5º ANO'!$G14)*'DADOS BÁSICOS 5º ANO'!$C$18</f>
        <v>1179.6300000000001</v>
      </c>
    </row>
    <row r="24" spans="1:9" ht="12.75" customHeight="1">
      <c r="A24" s="36" t="s">
        <v>60</v>
      </c>
      <c r="B24" s="335" t="s">
        <v>80</v>
      </c>
      <c r="C24" s="335"/>
      <c r="D24" s="335"/>
      <c r="E24" s="335"/>
      <c r="F24" s="335"/>
      <c r="G24" s="335"/>
      <c r="H24" s="50">
        <v>0.3</v>
      </c>
      <c r="I24" s="71">
        <f>I23*H24</f>
        <v>353.89</v>
      </c>
    </row>
    <row r="25" spans="1:9" s="55" customFormat="1" ht="12.75" customHeight="1">
      <c r="A25" s="52" t="s">
        <v>62</v>
      </c>
      <c r="B25" s="335" t="s">
        <v>81</v>
      </c>
      <c r="C25" s="335"/>
      <c r="D25" s="335"/>
      <c r="E25" s="335"/>
      <c r="F25" s="335"/>
      <c r="G25" s="335"/>
      <c r="H25" s="53"/>
      <c r="I25" s="54"/>
    </row>
    <row r="26" spans="1:9" s="55" customFormat="1" ht="12.75" customHeight="1">
      <c r="A26" s="52" t="s">
        <v>64</v>
      </c>
      <c r="B26" s="286" t="s">
        <v>82</v>
      </c>
      <c r="C26" s="286"/>
      <c r="D26" s="286"/>
      <c r="E26" s="286"/>
      <c r="F26" s="286"/>
      <c r="G26" s="286"/>
      <c r="H26" s="56"/>
      <c r="I26" s="57"/>
    </row>
    <row r="27" spans="1:9" s="55" customFormat="1" ht="12.75" customHeight="1">
      <c r="A27" s="52" t="s">
        <v>66</v>
      </c>
      <c r="B27" s="286" t="s">
        <v>83</v>
      </c>
      <c r="C27" s="286"/>
      <c r="D27" s="286"/>
      <c r="E27" s="326"/>
      <c r="F27" s="326"/>
      <c r="G27" s="326"/>
      <c r="H27" s="58"/>
      <c r="I27" s="57"/>
    </row>
    <row r="28" spans="1:9" s="55" customFormat="1" ht="12.75" customHeight="1">
      <c r="A28" s="59" t="s">
        <v>84</v>
      </c>
      <c r="B28" s="327"/>
      <c r="C28" s="328"/>
      <c r="D28" s="328"/>
      <c r="E28" s="329"/>
      <c r="F28" s="330"/>
      <c r="G28" s="331"/>
      <c r="H28" s="60"/>
      <c r="I28" s="57"/>
    </row>
    <row r="29" spans="1:9" s="55" customFormat="1" ht="12.75" customHeight="1">
      <c r="A29" s="332" t="s">
        <v>85</v>
      </c>
      <c r="B29" s="332"/>
      <c r="C29" s="332"/>
      <c r="D29" s="332"/>
      <c r="E29" s="333"/>
      <c r="F29" s="333"/>
      <c r="G29" s="333"/>
      <c r="H29" s="61"/>
      <c r="I29" s="62">
        <f>SUM(I23:I28)</f>
        <v>1533.52</v>
      </c>
    </row>
    <row r="30" spans="1:9">
      <c r="A30" s="37" t="s">
        <v>86</v>
      </c>
      <c r="B30" s="63"/>
      <c r="C30" s="63"/>
      <c r="D30" s="63"/>
      <c r="E30" s="63"/>
      <c r="F30" s="63"/>
      <c r="G30" s="63"/>
      <c r="H30" s="64"/>
      <c r="I30" s="65"/>
    </row>
    <row r="31" spans="1:9" ht="18" customHeight="1">
      <c r="A31" s="66" t="s">
        <v>87</v>
      </c>
      <c r="B31" s="334" t="s">
        <v>88</v>
      </c>
      <c r="C31" s="334"/>
      <c r="D31" s="334"/>
      <c r="E31" s="334"/>
      <c r="F31" s="334"/>
      <c r="G31" s="334"/>
      <c r="H31" s="67" t="s">
        <v>89</v>
      </c>
      <c r="I31" s="68" t="s">
        <v>79</v>
      </c>
    </row>
    <row r="32" spans="1:9" ht="16.5" customHeight="1">
      <c r="A32" s="69" t="s">
        <v>58</v>
      </c>
      <c r="B32" s="286" t="s">
        <v>90</v>
      </c>
      <c r="C32" s="286"/>
      <c r="D32" s="286"/>
      <c r="E32" s="286"/>
      <c r="F32" s="286"/>
      <c r="G32" s="286"/>
      <c r="H32" s="70">
        <f>1/12</f>
        <v>8.3299999999999999E-2</v>
      </c>
      <c r="I32" s="71">
        <f>I$29*H$32</f>
        <v>127.74</v>
      </c>
    </row>
    <row r="33" spans="1:9" ht="16.5" customHeight="1">
      <c r="A33" s="69" t="s">
        <v>60</v>
      </c>
      <c r="B33" s="286" t="s">
        <v>91</v>
      </c>
      <c r="C33" s="286"/>
      <c r="D33" s="286"/>
      <c r="E33" s="286"/>
      <c r="F33" s="286"/>
      <c r="G33" s="286"/>
      <c r="H33" s="70">
        <f>SUM(H34:H39)</f>
        <v>0.1288</v>
      </c>
      <c r="I33" s="71">
        <f>SUM(I34:I39)</f>
        <v>197.5</v>
      </c>
    </row>
    <row r="34" spans="1:9" ht="16.5" customHeight="1">
      <c r="A34" s="69"/>
      <c r="B34" s="69" t="s">
        <v>183</v>
      </c>
      <c r="C34" s="302" t="s">
        <v>188</v>
      </c>
      <c r="D34" s="303"/>
      <c r="E34" s="303"/>
      <c r="F34" s="303"/>
      <c r="G34" s="284"/>
      <c r="H34" s="70">
        <f>(1/3)/12</f>
        <v>2.7799999999999998E-2</v>
      </c>
      <c r="I34" s="71">
        <f t="shared" ref="I34:I39" si="0">I$29*H34</f>
        <v>42.63</v>
      </c>
    </row>
    <row r="35" spans="1:9" ht="16.5" customHeight="1">
      <c r="A35" s="274"/>
      <c r="B35" s="275" t="s">
        <v>184</v>
      </c>
      <c r="C35" s="410" t="s">
        <v>275</v>
      </c>
      <c r="D35" s="411"/>
      <c r="E35" s="411"/>
      <c r="F35" s="411"/>
      <c r="G35" s="412"/>
      <c r="H35" s="276">
        <f>1/12</f>
        <v>8.3299999999999999E-2</v>
      </c>
      <c r="I35" s="277">
        <f t="shared" si="0"/>
        <v>127.74</v>
      </c>
    </row>
    <row r="36" spans="1:9" ht="16.5" customHeight="1">
      <c r="A36" s="72"/>
      <c r="B36" s="72" t="s">
        <v>266</v>
      </c>
      <c r="C36" s="320" t="s">
        <v>267</v>
      </c>
      <c r="D36" s="321"/>
      <c r="E36" s="321"/>
      <c r="F36" s="321"/>
      <c r="G36" s="322"/>
      <c r="H36" s="73"/>
      <c r="I36" s="74">
        <f t="shared" si="0"/>
        <v>0</v>
      </c>
    </row>
    <row r="37" spans="1:9" ht="16.5" customHeight="1">
      <c r="A37" s="76"/>
      <c r="B37" s="76" t="s">
        <v>185</v>
      </c>
      <c r="C37" s="323" t="s">
        <v>206</v>
      </c>
      <c r="D37" s="324"/>
      <c r="E37" s="324"/>
      <c r="F37" s="324"/>
      <c r="G37" s="325"/>
      <c r="H37" s="77">
        <f>((H11/11)/12)/H11</f>
        <v>7.6E-3</v>
      </c>
      <c r="I37" s="226">
        <f t="shared" si="0"/>
        <v>11.65</v>
      </c>
    </row>
    <row r="38" spans="1:9" ht="16.5" customHeight="1">
      <c r="A38" s="76"/>
      <c r="B38" s="76" t="s">
        <v>186</v>
      </c>
      <c r="C38" s="323" t="s">
        <v>207</v>
      </c>
      <c r="D38" s="324"/>
      <c r="E38" s="324"/>
      <c r="F38" s="324"/>
      <c r="G38" s="325"/>
      <c r="H38" s="77">
        <f>H37/3</f>
        <v>2.5000000000000001E-3</v>
      </c>
      <c r="I38" s="226">
        <f t="shared" si="0"/>
        <v>3.83</v>
      </c>
    </row>
    <row r="39" spans="1:9" ht="16.5" customHeight="1">
      <c r="A39" s="76"/>
      <c r="B39" s="76" t="s">
        <v>187</v>
      </c>
      <c r="C39" s="323" t="s">
        <v>208</v>
      </c>
      <c r="D39" s="324"/>
      <c r="E39" s="324"/>
      <c r="F39" s="324"/>
      <c r="G39" s="325"/>
      <c r="H39" s="77">
        <f>((H11/11)/12)/H11</f>
        <v>7.6E-3</v>
      </c>
      <c r="I39" s="226">
        <f t="shared" si="0"/>
        <v>11.65</v>
      </c>
    </row>
    <row r="40" spans="1:9">
      <c r="A40" s="287" t="s">
        <v>85</v>
      </c>
      <c r="B40" s="287"/>
      <c r="C40" s="287"/>
      <c r="D40" s="287"/>
      <c r="E40" s="287"/>
      <c r="F40" s="287"/>
      <c r="G40" s="287"/>
      <c r="H40" s="79">
        <f>SUM(H32:H33)</f>
        <v>0.21210000000000001</v>
      </c>
      <c r="I40" s="80">
        <f>SUM(I32:I33)</f>
        <v>325.24</v>
      </c>
    </row>
    <row r="41" spans="1:9">
      <c r="A41" s="304" t="s">
        <v>92</v>
      </c>
      <c r="B41" s="304"/>
      <c r="C41" s="304"/>
      <c r="D41" s="304"/>
      <c r="E41" s="304"/>
      <c r="F41" s="304"/>
      <c r="G41" s="304"/>
      <c r="H41" s="81" t="s">
        <v>93</v>
      </c>
      <c r="I41" s="82">
        <f>I29</f>
        <v>1533.52</v>
      </c>
    </row>
    <row r="42" spans="1:9">
      <c r="A42" s="304"/>
      <c r="B42" s="304"/>
      <c r="C42" s="304"/>
      <c r="D42" s="304"/>
      <c r="E42" s="304"/>
      <c r="F42" s="304"/>
      <c r="G42" s="304"/>
      <c r="H42" s="81" t="s">
        <v>99</v>
      </c>
      <c r="I42" s="82">
        <f>I40</f>
        <v>325.24</v>
      </c>
    </row>
    <row r="43" spans="1:9">
      <c r="A43" s="304"/>
      <c r="B43" s="304"/>
      <c r="C43" s="304"/>
      <c r="D43" s="304"/>
      <c r="E43" s="304"/>
      <c r="F43" s="304"/>
      <c r="G43" s="304"/>
      <c r="H43" s="81" t="s">
        <v>85</v>
      </c>
      <c r="I43" s="82">
        <f>SUM(I41:I42)</f>
        <v>1858.76</v>
      </c>
    </row>
    <row r="44" spans="1:9" ht="33" customHeight="1">
      <c r="A44" s="37" t="s">
        <v>105</v>
      </c>
      <c r="B44" s="63"/>
      <c r="C44" s="63"/>
      <c r="D44" s="63"/>
      <c r="E44" s="63"/>
      <c r="F44" s="63"/>
      <c r="G44" s="63"/>
      <c r="H44" s="64"/>
      <c r="I44" s="65"/>
    </row>
    <row r="45" spans="1:9" ht="19.5" customHeight="1">
      <c r="A45" s="83" t="s">
        <v>106</v>
      </c>
      <c r="B45" s="288" t="s">
        <v>107</v>
      </c>
      <c r="C45" s="288"/>
      <c r="D45" s="288"/>
      <c r="E45" s="288"/>
      <c r="F45" s="288"/>
      <c r="G45" s="288"/>
      <c r="H45" s="67" t="s">
        <v>89</v>
      </c>
      <c r="I45" s="84" t="s">
        <v>79</v>
      </c>
    </row>
    <row r="46" spans="1:9" ht="12.75" customHeight="1">
      <c r="A46" s="85" t="s">
        <v>58</v>
      </c>
      <c r="B46" s="286" t="s">
        <v>32</v>
      </c>
      <c r="C46" s="286"/>
      <c r="D46" s="286"/>
      <c r="E46" s="286"/>
      <c r="F46" s="286"/>
      <c r="G46" s="286"/>
      <c r="H46" s="50">
        <f>IF('DADOS BÁSICOS 5º ANO'!$B$25="LUCRO PRESUMIDO",'DADOS BÁSICOS 5º ANO'!$B$29,'DADOS BÁSICOS 5º ANO'!$C$29)</f>
        <v>0.2</v>
      </c>
      <c r="I46" s="71">
        <f>I43*H46</f>
        <v>371.75</v>
      </c>
    </row>
    <row r="47" spans="1:9" ht="12.75" customHeight="1">
      <c r="A47" s="85" t="s">
        <v>60</v>
      </c>
      <c r="B47" s="286" t="s">
        <v>108</v>
      </c>
      <c r="C47" s="286"/>
      <c r="D47" s="286"/>
      <c r="E47" s="286"/>
      <c r="F47" s="286"/>
      <c r="G47" s="286"/>
      <c r="H47" s="50">
        <f>IF('DADOS BÁSICOS 5º ANO'!$B$25="LUCRO PRESUMIDO",'DADOS BÁSICOS 5º ANO'!$B$30,'DADOS BÁSICOS 5º ANO'!$C$30)</f>
        <v>2.5000000000000001E-2</v>
      </c>
      <c r="I47" s="71">
        <f>I43*H47</f>
        <v>46.47</v>
      </c>
    </row>
    <row r="48" spans="1:9" ht="17.25" customHeight="1">
      <c r="A48" s="85" t="s">
        <v>62</v>
      </c>
      <c r="B48" s="286" t="s">
        <v>109</v>
      </c>
      <c r="C48" s="286"/>
      <c r="D48" s="286"/>
      <c r="E48" s="286"/>
      <c r="F48" s="286"/>
      <c r="G48" s="286"/>
      <c r="H48" s="50">
        <f>IF('DADOS BÁSICOS 5º ANO'!$B$25="LUCRO PRESUMIDO",'DADOS BÁSICOS 5º ANO'!$B$31,'DADOS BÁSICOS 5º ANO'!$C$31)</f>
        <v>0.03</v>
      </c>
      <c r="I48" s="71">
        <f>I43*H48</f>
        <v>55.76</v>
      </c>
    </row>
    <row r="49" spans="1:10" ht="12.75" customHeight="1">
      <c r="A49" s="85" t="s">
        <v>64</v>
      </c>
      <c r="B49" s="286" t="s">
        <v>35</v>
      </c>
      <c r="C49" s="286"/>
      <c r="D49" s="286"/>
      <c r="E49" s="286"/>
      <c r="F49" s="286"/>
      <c r="G49" s="286"/>
      <c r="H49" s="50">
        <f>IF('DADOS BÁSICOS 5º ANO'!$B$25="LUCRO PRESUMIDO",'DADOS BÁSICOS 5º ANO'!$B$32,'DADOS BÁSICOS 5º ANO'!$C$32)</f>
        <v>1.4999999999999999E-2</v>
      </c>
      <c r="I49" s="71">
        <f>I43*H49</f>
        <v>27.88</v>
      </c>
    </row>
    <row r="50" spans="1:10" ht="12.75" customHeight="1">
      <c r="A50" s="85" t="s">
        <v>66</v>
      </c>
      <c r="B50" s="286" t="s">
        <v>36</v>
      </c>
      <c r="C50" s="286"/>
      <c r="D50" s="286"/>
      <c r="E50" s="286"/>
      <c r="F50" s="286"/>
      <c r="G50" s="286"/>
      <c r="H50" s="50">
        <f>IF('DADOS BÁSICOS 5º ANO'!$B$25="LUCRO PRESUMIDO",'DADOS BÁSICOS 5º ANO'!$B$33,'DADOS BÁSICOS 5º ANO'!$C$33)</f>
        <v>0.01</v>
      </c>
      <c r="I50" s="71">
        <f>I43*H50</f>
        <v>18.59</v>
      </c>
    </row>
    <row r="51" spans="1:10" ht="12.75" customHeight="1">
      <c r="A51" s="85" t="s">
        <v>84</v>
      </c>
      <c r="B51" s="286" t="s">
        <v>37</v>
      </c>
      <c r="C51" s="286"/>
      <c r="D51" s="286"/>
      <c r="E51" s="286"/>
      <c r="F51" s="286"/>
      <c r="G51" s="286"/>
      <c r="H51" s="50">
        <f>IF('DADOS BÁSICOS 5º ANO'!$B$25="LUCRO PRESUMIDO",'DADOS BÁSICOS 5º ANO'!$B$34,'DADOS BÁSICOS 5º ANO'!$C$34)</f>
        <v>6.0000000000000001E-3</v>
      </c>
      <c r="I51" s="71">
        <f>I43*H51</f>
        <v>11.15</v>
      </c>
    </row>
    <row r="52" spans="1:10" ht="12.75" customHeight="1">
      <c r="A52" s="85" t="s">
        <v>110</v>
      </c>
      <c r="B52" s="286" t="s">
        <v>38</v>
      </c>
      <c r="C52" s="286"/>
      <c r="D52" s="286"/>
      <c r="E52" s="286"/>
      <c r="F52" s="286"/>
      <c r="G52" s="286"/>
      <c r="H52" s="50">
        <f>IF('DADOS BÁSICOS 5º ANO'!$B$25="LUCRO PRESUMIDO",'DADOS BÁSICOS 5º ANO'!$B$35,'DADOS BÁSICOS 5º ANO'!$C$35)</f>
        <v>2E-3</v>
      </c>
      <c r="I52" s="71">
        <f>I43*H52</f>
        <v>3.72</v>
      </c>
    </row>
    <row r="53" spans="1:10" ht="12.75" customHeight="1">
      <c r="A53" s="86" t="s">
        <v>111</v>
      </c>
      <c r="B53" s="286" t="s">
        <v>39</v>
      </c>
      <c r="C53" s="286"/>
      <c r="D53" s="286"/>
      <c r="E53" s="286"/>
      <c r="F53" s="286"/>
      <c r="G53" s="286"/>
      <c r="H53" s="50">
        <f>IF('DADOS BÁSICOS 5º ANO'!$B$25="LUCRO PRESUMIDO",'DADOS BÁSICOS 5º ANO'!$B$36,'DADOS BÁSICOS 5º ANO'!$C$36)</f>
        <v>0.08</v>
      </c>
      <c r="I53" s="71">
        <f>I43*H53</f>
        <v>148.69999999999999</v>
      </c>
    </row>
    <row r="54" spans="1:10" ht="18.75" customHeight="1">
      <c r="A54" s="287" t="s">
        <v>85</v>
      </c>
      <c r="B54" s="287"/>
      <c r="C54" s="287"/>
      <c r="D54" s="287"/>
      <c r="E54" s="287"/>
      <c r="F54" s="287"/>
      <c r="G54" s="287"/>
      <c r="H54" s="87">
        <f>SUM(H46:H53)</f>
        <v>0.36799999999999999</v>
      </c>
      <c r="I54" s="80">
        <f t="shared" ref="I54" si="1">SUM(I46:I53)</f>
        <v>684.02</v>
      </c>
    </row>
    <row r="55" spans="1:10" ht="33" customHeight="1">
      <c r="A55" s="88" t="s">
        <v>112</v>
      </c>
      <c r="B55" s="88"/>
      <c r="C55" s="88"/>
      <c r="D55" s="88"/>
      <c r="E55" s="88"/>
      <c r="F55" s="88"/>
      <c r="G55" s="88"/>
      <c r="H55" s="89"/>
      <c r="I55" s="90"/>
    </row>
    <row r="56" spans="1:10" ht="17.25" customHeight="1">
      <c r="A56" s="83" t="s">
        <v>113</v>
      </c>
      <c r="B56" s="316" t="s">
        <v>114</v>
      </c>
      <c r="C56" s="316"/>
      <c r="D56" s="316"/>
      <c r="E56" s="316"/>
      <c r="F56" s="316"/>
      <c r="G56" s="316"/>
      <c r="H56" s="39"/>
      <c r="I56" s="91" t="s">
        <v>79</v>
      </c>
    </row>
    <row r="57" spans="1:10">
      <c r="A57" s="69" t="s">
        <v>58</v>
      </c>
      <c r="B57" s="294" t="s">
        <v>115</v>
      </c>
      <c r="C57" s="294"/>
      <c r="D57" s="294"/>
      <c r="E57" s="294"/>
      <c r="F57" s="294"/>
      <c r="G57" s="294"/>
      <c r="H57" s="92"/>
      <c r="I57" s="317">
        <f>IF((H58*H59)-(I23*H60)&gt;0,((H58*H59)-(I23*H60)),0)</f>
        <v>127.22</v>
      </c>
    </row>
    <row r="58" spans="1:10" ht="24.75" customHeight="1">
      <c r="A58" s="69"/>
      <c r="B58" s="286" t="s">
        <v>116</v>
      </c>
      <c r="C58" s="286"/>
      <c r="D58" s="286"/>
      <c r="E58" s="286"/>
      <c r="F58" s="286"/>
      <c r="G58" s="286"/>
      <c r="H58" s="93">
        <f>'DADOS BÁSICOS 5º ANO'!P8</f>
        <v>4.5</v>
      </c>
      <c r="I58" s="318"/>
    </row>
    <row r="59" spans="1:10" ht="12.75" customHeight="1">
      <c r="A59" s="94"/>
      <c r="B59" s="286" t="s">
        <v>117</v>
      </c>
      <c r="C59" s="286"/>
      <c r="D59" s="286"/>
      <c r="E59" s="286"/>
      <c r="F59" s="286"/>
      <c r="G59" s="286"/>
      <c r="H59" s="95">
        <f>'DADOS BÁSICOS 5º ANO'!$O8</f>
        <v>44</v>
      </c>
      <c r="I59" s="318"/>
    </row>
    <row r="60" spans="1:10" ht="12.75" customHeight="1">
      <c r="A60" s="69"/>
      <c r="B60" s="286" t="s">
        <v>118</v>
      </c>
      <c r="C60" s="286"/>
      <c r="D60" s="286"/>
      <c r="E60" s="286"/>
      <c r="F60" s="286"/>
      <c r="G60" s="286"/>
      <c r="H60" s="96">
        <v>0.06</v>
      </c>
      <c r="I60" s="319"/>
    </row>
    <row r="61" spans="1:10" ht="15" customHeight="1">
      <c r="A61" s="69" t="s">
        <v>60</v>
      </c>
      <c r="B61" s="286" t="s">
        <v>119</v>
      </c>
      <c r="C61" s="286"/>
      <c r="D61" s="286"/>
      <c r="E61" s="286"/>
      <c r="F61" s="286"/>
      <c r="G61" s="286"/>
      <c r="H61" s="97"/>
      <c r="I61" s="313">
        <f>H62-(H62*H64)</f>
        <v>360</v>
      </c>
    </row>
    <row r="62" spans="1:10" ht="15" customHeight="1">
      <c r="A62" s="69"/>
      <c r="B62" s="286" t="s">
        <v>256</v>
      </c>
      <c r="C62" s="286"/>
      <c r="D62" s="286"/>
      <c r="E62" s="286"/>
      <c r="F62" s="286"/>
      <c r="G62" s="286"/>
      <c r="H62" s="98">
        <f>'DADOS BÁSICOS 5º ANO'!I8</f>
        <v>450</v>
      </c>
      <c r="I62" s="314"/>
      <c r="J62" s="99"/>
    </row>
    <row r="63" spans="1:10" ht="15" customHeight="1">
      <c r="A63" s="69"/>
      <c r="B63" s="286" t="s">
        <v>258</v>
      </c>
      <c r="C63" s="286"/>
      <c r="D63" s="286"/>
      <c r="E63" s="286"/>
      <c r="F63" s="286"/>
      <c r="G63" s="286"/>
      <c r="H63" s="100"/>
      <c r="I63" s="314"/>
      <c r="J63" s="99"/>
    </row>
    <row r="64" spans="1:10" ht="15" customHeight="1">
      <c r="A64" s="69"/>
      <c r="B64" s="286" t="s">
        <v>257</v>
      </c>
      <c r="C64" s="286"/>
      <c r="D64" s="286"/>
      <c r="E64" s="286"/>
      <c r="F64" s="286"/>
      <c r="G64" s="286"/>
      <c r="H64" s="101">
        <f>'DADOS BÁSICOS 5º ANO'!$N8</f>
        <v>0.2</v>
      </c>
      <c r="I64" s="315"/>
    </row>
    <row r="65" spans="1:9" ht="17.25" customHeight="1">
      <c r="A65" s="69" t="s">
        <v>62</v>
      </c>
      <c r="B65" s="286" t="str">
        <f>'DADOS BÁSICOS 5º ANO'!$J$7</f>
        <v>Auxílio Saúde</v>
      </c>
      <c r="C65" s="286"/>
      <c r="D65" s="286"/>
      <c r="E65" s="286"/>
      <c r="F65" s="286"/>
      <c r="G65" s="286"/>
      <c r="H65" s="102"/>
      <c r="I65" s="57">
        <f>'DADOS BÁSICOS 5º ANO'!$J$8</f>
        <v>64</v>
      </c>
    </row>
    <row r="66" spans="1:9" ht="16" customHeight="1">
      <c r="A66" s="69" t="s">
        <v>64</v>
      </c>
      <c r="B66" s="286" t="str">
        <f>'DADOS BÁSICOS 5º ANO'!$K$7</f>
        <v>Benefício Familiar</v>
      </c>
      <c r="C66" s="286"/>
      <c r="D66" s="286"/>
      <c r="E66" s="286"/>
      <c r="F66" s="286"/>
      <c r="G66" s="286"/>
      <c r="H66" s="103"/>
      <c r="I66" s="104">
        <f>'DADOS BÁSICOS 5º ANO'!$K$8</f>
        <v>21</v>
      </c>
    </row>
    <row r="67" spans="1:9" ht="15" customHeight="1">
      <c r="A67" s="69" t="s">
        <v>66</v>
      </c>
      <c r="B67" s="286" t="str">
        <f>'DADOS BÁSICOS 5º ANO'!$L$7</f>
        <v>Fundo de Fomação Profissional</v>
      </c>
      <c r="C67" s="286"/>
      <c r="D67" s="286"/>
      <c r="E67" s="286"/>
      <c r="F67" s="286"/>
      <c r="G67" s="286"/>
      <c r="H67" s="102"/>
      <c r="I67" s="104">
        <f>'DADOS BÁSICOS 5º ANO'!$L$8</f>
        <v>21</v>
      </c>
    </row>
    <row r="68" spans="1:9" ht="18" customHeight="1">
      <c r="A68" s="275" t="s">
        <v>84</v>
      </c>
      <c r="B68" s="409" t="s">
        <v>273</v>
      </c>
      <c r="C68" s="409"/>
      <c r="D68" s="409"/>
      <c r="E68" s="409"/>
      <c r="F68" s="409"/>
      <c r="G68" s="409"/>
      <c r="H68" s="278">
        <f>1/12</f>
        <v>8.3299999999999999E-2</v>
      </c>
      <c r="I68" s="279">
        <f>I61*H68</f>
        <v>29.99</v>
      </c>
    </row>
    <row r="69" spans="1:9" ht="18" customHeight="1">
      <c r="A69" s="72" t="s">
        <v>268</v>
      </c>
      <c r="B69" s="312" t="s">
        <v>269</v>
      </c>
      <c r="C69" s="312"/>
      <c r="D69" s="312"/>
      <c r="E69" s="312"/>
      <c r="F69" s="312"/>
      <c r="G69" s="312"/>
      <c r="H69" s="105">
        <v>0</v>
      </c>
      <c r="I69" s="107">
        <f>I61*H69</f>
        <v>0</v>
      </c>
    </row>
    <row r="70" spans="1:9" ht="18" customHeight="1">
      <c r="A70" s="108" t="s">
        <v>110</v>
      </c>
      <c r="B70" s="297" t="s">
        <v>201</v>
      </c>
      <c r="C70" s="297"/>
      <c r="D70" s="297"/>
      <c r="E70" s="297"/>
      <c r="F70" s="297"/>
      <c r="G70" s="297"/>
      <c r="H70" s="109">
        <f>((H11/11)/12)/H11</f>
        <v>7.6E-3</v>
      </c>
      <c r="I70" s="225">
        <f>I61*H70</f>
        <v>2.74</v>
      </c>
    </row>
    <row r="71" spans="1:9" ht="18" customHeight="1">
      <c r="A71" s="76" t="s">
        <v>111</v>
      </c>
      <c r="B71" s="310" t="s">
        <v>202</v>
      </c>
      <c r="C71" s="310"/>
      <c r="D71" s="310"/>
      <c r="E71" s="310"/>
      <c r="F71" s="310"/>
      <c r="G71" s="310"/>
      <c r="H71" s="111">
        <f>(H$11/11)/H$11</f>
        <v>9.0899999999999995E-2</v>
      </c>
      <c r="I71" s="226">
        <f>I65*H71</f>
        <v>5.82</v>
      </c>
    </row>
    <row r="72" spans="1:9" ht="18" customHeight="1">
      <c r="A72" s="76" t="s">
        <v>198</v>
      </c>
      <c r="B72" s="310" t="s">
        <v>203</v>
      </c>
      <c r="C72" s="310"/>
      <c r="D72" s="310"/>
      <c r="E72" s="310"/>
      <c r="F72" s="310"/>
      <c r="G72" s="310"/>
      <c r="H72" s="111">
        <f t="shared" ref="H72:H73" si="2">(H$11/11)/H$11</f>
        <v>9.0899999999999995E-2</v>
      </c>
      <c r="I72" s="226">
        <f>I66*H72</f>
        <v>1.91</v>
      </c>
    </row>
    <row r="73" spans="1:9" ht="18" customHeight="1">
      <c r="A73" s="76" t="s">
        <v>199</v>
      </c>
      <c r="B73" s="310" t="s">
        <v>204</v>
      </c>
      <c r="C73" s="310"/>
      <c r="D73" s="310"/>
      <c r="E73" s="310"/>
      <c r="F73" s="310"/>
      <c r="G73" s="310"/>
      <c r="H73" s="111">
        <f t="shared" si="2"/>
        <v>9.0899999999999995E-2</v>
      </c>
      <c r="I73" s="226">
        <f>I67*H73</f>
        <v>1.91</v>
      </c>
    </row>
    <row r="74" spans="1:9" ht="19.5" customHeight="1">
      <c r="A74" s="287" t="s">
        <v>85</v>
      </c>
      <c r="B74" s="287"/>
      <c r="C74" s="287"/>
      <c r="D74" s="287"/>
      <c r="E74" s="287"/>
      <c r="F74" s="287"/>
      <c r="G74" s="287"/>
      <c r="H74" s="113"/>
      <c r="I74" s="80">
        <f>SUM(I57:I73)</f>
        <v>635.59</v>
      </c>
    </row>
    <row r="75" spans="1:9" ht="30.75" customHeight="1">
      <c r="A75" s="37" t="s">
        <v>120</v>
      </c>
      <c r="B75" s="63"/>
      <c r="C75" s="63"/>
      <c r="D75" s="63"/>
      <c r="E75" s="63"/>
      <c r="F75" s="63"/>
      <c r="G75" s="63"/>
      <c r="H75" s="64"/>
      <c r="I75" s="65"/>
    </row>
    <row r="76" spans="1:9" ht="20.25" customHeight="1">
      <c r="A76" s="114">
        <v>2</v>
      </c>
      <c r="B76" s="311" t="s">
        <v>121</v>
      </c>
      <c r="C76" s="311"/>
      <c r="D76" s="311"/>
      <c r="E76" s="311"/>
      <c r="F76" s="311"/>
      <c r="G76" s="311"/>
      <c r="H76" s="115"/>
      <c r="I76" s="116" t="s">
        <v>79</v>
      </c>
    </row>
    <row r="77" spans="1:9" ht="12.75" customHeight="1">
      <c r="A77" s="69" t="s">
        <v>87</v>
      </c>
      <c r="B77" s="286" t="s">
        <v>88</v>
      </c>
      <c r="C77" s="286"/>
      <c r="D77" s="286"/>
      <c r="E77" s="286"/>
      <c r="F77" s="286"/>
      <c r="G77" s="286"/>
      <c r="H77" s="48"/>
      <c r="I77" s="71">
        <f>I40</f>
        <v>325.24</v>
      </c>
    </row>
    <row r="78" spans="1:9" ht="12.75" customHeight="1">
      <c r="A78" s="69" t="s">
        <v>106</v>
      </c>
      <c r="B78" s="286" t="s">
        <v>107</v>
      </c>
      <c r="C78" s="286"/>
      <c r="D78" s="286"/>
      <c r="E78" s="286"/>
      <c r="F78" s="286"/>
      <c r="G78" s="286"/>
      <c r="H78" s="48"/>
      <c r="I78" s="71">
        <f>I54</f>
        <v>684.02</v>
      </c>
    </row>
    <row r="79" spans="1:9" ht="12.75" customHeight="1">
      <c r="A79" s="69" t="s">
        <v>113</v>
      </c>
      <c r="B79" s="286" t="s">
        <v>114</v>
      </c>
      <c r="C79" s="286"/>
      <c r="D79" s="286"/>
      <c r="E79" s="286"/>
      <c r="F79" s="286"/>
      <c r="G79" s="286"/>
      <c r="H79" s="48"/>
      <c r="I79" s="71">
        <f>I74</f>
        <v>635.59</v>
      </c>
    </row>
    <row r="80" spans="1:9">
      <c r="A80" s="304" t="s">
        <v>85</v>
      </c>
      <c r="B80" s="304"/>
      <c r="C80" s="304"/>
      <c r="D80" s="304"/>
      <c r="E80" s="304"/>
      <c r="F80" s="304"/>
      <c r="G80" s="304"/>
      <c r="H80" s="117"/>
      <c r="I80" s="82">
        <f>SUM(I77:I79)</f>
        <v>1644.85</v>
      </c>
    </row>
    <row r="81" spans="1:9" ht="26.25" customHeight="1">
      <c r="A81" s="37" t="s">
        <v>122</v>
      </c>
      <c r="B81" s="118"/>
      <c r="C81" s="118"/>
      <c r="D81" s="118"/>
      <c r="E81" s="118"/>
      <c r="F81" s="118"/>
      <c r="G81" s="118"/>
      <c r="H81" s="64"/>
      <c r="I81" s="65"/>
    </row>
    <row r="82" spans="1:9" ht="26.25" customHeight="1">
      <c r="A82" s="119">
        <v>3</v>
      </c>
      <c r="B82" s="305" t="s">
        <v>123</v>
      </c>
      <c r="C82" s="305"/>
      <c r="D82" s="305"/>
      <c r="E82" s="305"/>
      <c r="F82" s="305"/>
      <c r="G82" s="305"/>
      <c r="H82" s="120" t="s">
        <v>89</v>
      </c>
      <c r="I82" s="47" t="s">
        <v>79</v>
      </c>
    </row>
    <row r="83" spans="1:9">
      <c r="A83" s="121" t="s">
        <v>58</v>
      </c>
      <c r="B83" s="306" t="s">
        <v>124</v>
      </c>
      <c r="C83" s="307"/>
      <c r="D83" s="307"/>
      <c r="E83" s="307"/>
      <c r="F83" s="307"/>
      <c r="G83" s="308"/>
      <c r="H83" s="122">
        <f>((100%/12)*'DADOS BÁSICOS 5º ANO'!$Q8)/10</f>
        <v>2.8E-3</v>
      </c>
      <c r="I83" s="123">
        <f>H83*I$43</f>
        <v>5.2</v>
      </c>
    </row>
    <row r="84" spans="1:9">
      <c r="A84" s="69" t="s">
        <v>60</v>
      </c>
      <c r="B84" s="294" t="s">
        <v>125</v>
      </c>
      <c r="C84" s="294"/>
      <c r="D84" s="294"/>
      <c r="E84" s="294"/>
      <c r="F84" s="294"/>
      <c r="G84" s="294"/>
      <c r="H84" s="124">
        <v>0.08</v>
      </c>
      <c r="I84" s="125">
        <f>I83*H84</f>
        <v>0.42</v>
      </c>
    </row>
    <row r="85" spans="1:9" ht="12.75" customHeight="1">
      <c r="A85" s="126" t="s">
        <v>62</v>
      </c>
      <c r="B85" s="302" t="s">
        <v>126</v>
      </c>
      <c r="C85" s="303"/>
      <c r="D85" s="303"/>
      <c r="E85" s="303"/>
      <c r="F85" s="303"/>
      <c r="G85" s="284"/>
      <c r="H85" s="127">
        <f>8%*40%*'DADOS BÁSICOS 5º ANO'!$Q8</f>
        <v>1.0800000000000001E-2</v>
      </c>
      <c r="I85" s="125">
        <f>I$43*H85</f>
        <v>20.07</v>
      </c>
    </row>
    <row r="86" spans="1:9" ht="17.25" customHeight="1">
      <c r="A86" s="128" t="s">
        <v>64</v>
      </c>
      <c r="B86" s="309" t="s">
        <v>127</v>
      </c>
      <c r="C86" s="309"/>
      <c r="D86" s="309"/>
      <c r="E86" s="309"/>
      <c r="F86" s="309"/>
      <c r="G86" s="309"/>
      <c r="H86" s="247">
        <f>((7/30)/12)/10</f>
        <v>1.944E-3</v>
      </c>
      <c r="I86" s="248">
        <f>H86*I$43</f>
        <v>3.61</v>
      </c>
    </row>
    <row r="87" spans="1:9">
      <c r="A87" s="69" t="s">
        <v>66</v>
      </c>
      <c r="B87" s="294" t="s">
        <v>128</v>
      </c>
      <c r="C87" s="294"/>
      <c r="D87" s="294"/>
      <c r="E87" s="294"/>
      <c r="F87" s="294"/>
      <c r="G87" s="294"/>
      <c r="H87" s="124">
        <f>H54</f>
        <v>0.36799999999999999</v>
      </c>
      <c r="I87" s="131">
        <f>H87*I86</f>
        <v>1.33</v>
      </c>
    </row>
    <row r="88" spans="1:9" ht="12.75" customHeight="1">
      <c r="A88" s="126" t="s">
        <v>84</v>
      </c>
      <c r="B88" s="302" t="s">
        <v>129</v>
      </c>
      <c r="C88" s="303"/>
      <c r="D88" s="303"/>
      <c r="E88" s="303"/>
      <c r="F88" s="303"/>
      <c r="G88" s="284"/>
      <c r="H88" s="127">
        <f>8%*40%*'DADOS BÁSICOS 5º ANO'!$R8</f>
        <v>1.0800000000000001E-2</v>
      </c>
      <c r="I88" s="125">
        <f>I43*H88</f>
        <v>20.07</v>
      </c>
    </row>
    <row r="89" spans="1:9">
      <c r="A89" s="287" t="s">
        <v>85</v>
      </c>
      <c r="B89" s="287"/>
      <c r="C89" s="287"/>
      <c r="D89" s="287"/>
      <c r="E89" s="287"/>
      <c r="F89" s="287"/>
      <c r="G89" s="287"/>
      <c r="H89" s="113"/>
      <c r="I89" s="80">
        <f>SUM(I83:I88)</f>
        <v>50.7</v>
      </c>
    </row>
    <row r="90" spans="1:9">
      <c r="A90" s="304" t="s">
        <v>130</v>
      </c>
      <c r="B90" s="304"/>
      <c r="C90" s="304"/>
      <c r="D90" s="304"/>
      <c r="E90" s="304"/>
      <c r="F90" s="304"/>
      <c r="G90" s="304"/>
      <c r="H90" s="132" t="s">
        <v>93</v>
      </c>
      <c r="I90" s="133">
        <f>I29</f>
        <v>1533.52</v>
      </c>
    </row>
    <row r="91" spans="1:9">
      <c r="A91" s="304"/>
      <c r="B91" s="304"/>
      <c r="C91" s="304"/>
      <c r="D91" s="304"/>
      <c r="E91" s="304"/>
      <c r="F91" s="304"/>
      <c r="G91" s="304"/>
      <c r="H91" s="132" t="s">
        <v>94</v>
      </c>
      <c r="I91" s="133">
        <f>I80</f>
        <v>1644.85</v>
      </c>
    </row>
    <row r="92" spans="1:9">
      <c r="A92" s="304"/>
      <c r="B92" s="304"/>
      <c r="C92" s="304"/>
      <c r="D92" s="304"/>
      <c r="E92" s="304"/>
      <c r="F92" s="304"/>
      <c r="G92" s="304"/>
      <c r="H92" s="132" t="s">
        <v>95</v>
      </c>
      <c r="I92" s="133">
        <f>I89</f>
        <v>50.7</v>
      </c>
    </row>
    <row r="93" spans="1:9">
      <c r="A93" s="304"/>
      <c r="B93" s="304"/>
      <c r="C93" s="304"/>
      <c r="D93" s="304"/>
      <c r="E93" s="304"/>
      <c r="F93" s="304"/>
      <c r="G93" s="304"/>
      <c r="H93" s="132" t="s">
        <v>85</v>
      </c>
      <c r="I93" s="133">
        <f>SUM(I90:I92)</f>
        <v>3229.07</v>
      </c>
    </row>
    <row r="94" spans="1:9" ht="26.25" customHeight="1">
      <c r="A94" s="37" t="s">
        <v>131</v>
      </c>
      <c r="B94" s="134"/>
      <c r="C94" s="134"/>
      <c r="D94" s="134"/>
      <c r="E94" s="134"/>
      <c r="F94" s="134"/>
      <c r="G94" s="134"/>
      <c r="H94" s="135"/>
      <c r="I94" s="136"/>
    </row>
    <row r="95" spans="1:9" s="137" customFormat="1" ht="63.75" customHeight="1">
      <c r="A95" s="138" t="s">
        <v>132</v>
      </c>
      <c r="B95" s="63" t="s">
        <v>133</v>
      </c>
      <c r="C95" s="63"/>
      <c r="D95" s="63"/>
      <c r="E95" s="63"/>
      <c r="F95" s="63"/>
      <c r="G95" s="63"/>
      <c r="H95" s="67" t="s">
        <v>134</v>
      </c>
      <c r="I95" s="68" t="s">
        <v>79</v>
      </c>
    </row>
    <row r="96" spans="1:9" s="137" customFormat="1" ht="16.5" customHeight="1">
      <c r="A96" s="69" t="s">
        <v>58</v>
      </c>
      <c r="B96" s="301" t="s">
        <v>135</v>
      </c>
      <c r="C96" s="301"/>
      <c r="D96" s="301"/>
      <c r="E96" s="301"/>
      <c r="F96" s="301"/>
      <c r="G96" s="301"/>
      <c r="H96" s="139">
        <f>'DADOS BÁSICOS 5º ANO'!$H$59</f>
        <v>4.8734000000000002</v>
      </c>
      <c r="I96" s="71">
        <f>SUM(I97:I104)</f>
        <v>43.72</v>
      </c>
    </row>
    <row r="97" spans="1:9" s="137" customFormat="1" ht="16.5" customHeight="1">
      <c r="A97" s="140" t="s">
        <v>219</v>
      </c>
      <c r="B97" s="300" t="s">
        <v>211</v>
      </c>
      <c r="C97" s="300"/>
      <c r="D97" s="300"/>
      <c r="E97" s="300"/>
      <c r="F97" s="300"/>
      <c r="G97" s="300"/>
      <c r="H97" s="139">
        <f>'DADOS BÁSICOS 5º ANO'!$H$60</f>
        <v>1</v>
      </c>
      <c r="I97" s="141">
        <f>((I$93/30)*H97)/H$10</f>
        <v>8.9700000000000006</v>
      </c>
    </row>
    <row r="98" spans="1:9" s="137" customFormat="1" ht="16.5" customHeight="1">
      <c r="A98" s="140" t="s">
        <v>221</v>
      </c>
      <c r="B98" s="300" t="s">
        <v>212</v>
      </c>
      <c r="C98" s="300"/>
      <c r="D98" s="300"/>
      <c r="E98" s="300"/>
      <c r="F98" s="300"/>
      <c r="G98" s="300"/>
      <c r="H98" s="139">
        <f>'DADOS BÁSICOS 5º ANO'!$H$61</f>
        <v>3.4929999999999999</v>
      </c>
      <c r="I98" s="141">
        <f>((I$93/30)*H98)/H$10</f>
        <v>31.33</v>
      </c>
    </row>
    <row r="99" spans="1:9" s="137" customFormat="1" ht="16.5" customHeight="1">
      <c r="A99" s="140" t="s">
        <v>222</v>
      </c>
      <c r="B99" s="300" t="s">
        <v>213</v>
      </c>
      <c r="C99" s="300"/>
      <c r="D99" s="300"/>
      <c r="E99" s="300"/>
      <c r="F99" s="300"/>
      <c r="G99" s="300"/>
      <c r="H99" s="139">
        <f>'DADOS BÁSICOS 5º ANO'!$H$62</f>
        <v>0.26879999999999998</v>
      </c>
      <c r="I99" s="141">
        <f t="shared" ref="I99:I108" si="3">(I$93/30)*(H99/H$10)</f>
        <v>2.41</v>
      </c>
    </row>
    <row r="100" spans="1:9" s="137" customFormat="1" ht="16.5" customHeight="1">
      <c r="A100" s="140" t="s">
        <v>228</v>
      </c>
      <c r="B100" s="300" t="s">
        <v>214</v>
      </c>
      <c r="C100" s="300"/>
      <c r="D100" s="300"/>
      <c r="E100" s="300"/>
      <c r="F100" s="300"/>
      <c r="G100" s="300"/>
      <c r="H100" s="139">
        <f>'DADOS BÁSICOS 5º ANO'!$H$63</f>
        <v>4.2599999999999999E-2</v>
      </c>
      <c r="I100" s="141">
        <f t="shared" si="3"/>
        <v>0.38</v>
      </c>
    </row>
    <row r="101" spans="1:9" s="137" customFormat="1">
      <c r="A101" s="140" t="s">
        <v>229</v>
      </c>
      <c r="B101" s="300" t="s">
        <v>215</v>
      </c>
      <c r="C101" s="300"/>
      <c r="D101" s="300"/>
      <c r="E101" s="300"/>
      <c r="F101" s="300"/>
      <c r="G101" s="300"/>
      <c r="H101" s="139">
        <f>'DADOS BÁSICOS 5º ANO'!$H$64</f>
        <v>3.5400000000000001E-2</v>
      </c>
      <c r="I101" s="141">
        <f t="shared" si="3"/>
        <v>0.32</v>
      </c>
    </row>
    <row r="102" spans="1:9" ht="16.5" customHeight="1">
      <c r="A102" s="140" t="s">
        <v>230</v>
      </c>
      <c r="B102" s="300" t="s">
        <v>216</v>
      </c>
      <c r="C102" s="300"/>
      <c r="D102" s="300"/>
      <c r="E102" s="300"/>
      <c r="F102" s="300"/>
      <c r="G102" s="300"/>
      <c r="H102" s="139">
        <f>'DADOS BÁSICOS 5º ANO'!$H$65</f>
        <v>0.02</v>
      </c>
      <c r="I102" s="141">
        <f t="shared" si="3"/>
        <v>0.18</v>
      </c>
    </row>
    <row r="103" spans="1:9" ht="16.5" customHeight="1">
      <c r="A103" s="140" t="s">
        <v>231</v>
      </c>
      <c r="B103" s="300" t="s">
        <v>217</v>
      </c>
      <c r="C103" s="300"/>
      <c r="D103" s="300"/>
      <c r="E103" s="300"/>
      <c r="F103" s="300"/>
      <c r="G103" s="300"/>
      <c r="H103" s="139">
        <f>'DADOS BÁSICOS 5º ANO'!$H$66</f>
        <v>4.0000000000000001E-3</v>
      </c>
      <c r="I103" s="141">
        <f t="shared" si="3"/>
        <v>0.04</v>
      </c>
    </row>
    <row r="104" spans="1:9" ht="16.5" customHeight="1">
      <c r="A104" s="140" t="s">
        <v>232</v>
      </c>
      <c r="B104" s="300" t="s">
        <v>218</v>
      </c>
      <c r="C104" s="300"/>
      <c r="D104" s="300"/>
      <c r="E104" s="300"/>
      <c r="F104" s="300"/>
      <c r="G104" s="300"/>
      <c r="H104" s="139">
        <f>'DADOS BÁSICOS 5º ANO'!$H$67</f>
        <v>9.5999999999999992E-3</v>
      </c>
      <c r="I104" s="141">
        <f t="shared" si="3"/>
        <v>0.09</v>
      </c>
    </row>
    <row r="105" spans="1:9" ht="16.5" customHeight="1">
      <c r="A105" s="69" t="s">
        <v>60</v>
      </c>
      <c r="B105" s="301" t="s">
        <v>136</v>
      </c>
      <c r="C105" s="301"/>
      <c r="D105" s="301"/>
      <c r="E105" s="301"/>
      <c r="F105" s="301"/>
      <c r="G105" s="301"/>
      <c r="H105" s="139">
        <f>'DADOS BÁSICOS 5º ANO'!$H$68</f>
        <v>0.19980000000000001</v>
      </c>
      <c r="I105" s="71">
        <f t="shared" si="3"/>
        <v>1.79</v>
      </c>
    </row>
    <row r="106" spans="1:9" ht="16.5" customHeight="1">
      <c r="A106" s="69" t="s">
        <v>62</v>
      </c>
      <c r="B106" s="301" t="s">
        <v>137</v>
      </c>
      <c r="C106" s="301"/>
      <c r="D106" s="301"/>
      <c r="E106" s="301"/>
      <c r="F106" s="301"/>
      <c r="G106" s="301"/>
      <c r="H106" s="139">
        <f>'DADOS BÁSICOS 5º ANO'!$H$69</f>
        <v>0.96619999999999995</v>
      </c>
      <c r="I106" s="71">
        <f t="shared" si="3"/>
        <v>8.67</v>
      </c>
    </row>
    <row r="107" spans="1:9" ht="16.5" customHeight="1">
      <c r="A107" s="69" t="s">
        <v>64</v>
      </c>
      <c r="B107" s="301" t="s">
        <v>138</v>
      </c>
      <c r="C107" s="301"/>
      <c r="D107" s="301"/>
      <c r="E107" s="301"/>
      <c r="F107" s="301"/>
      <c r="G107" s="301"/>
      <c r="H107" s="139">
        <f>'DADOS BÁSICOS 5º ANO'!$H$70</f>
        <v>2.4771999999999998</v>
      </c>
      <c r="I107" s="71">
        <f t="shared" si="3"/>
        <v>22.22</v>
      </c>
    </row>
    <row r="108" spans="1:9" ht="16.5" customHeight="1">
      <c r="A108" s="41" t="s">
        <v>66</v>
      </c>
      <c r="B108" s="301" t="s">
        <v>139</v>
      </c>
      <c r="C108" s="301"/>
      <c r="D108" s="301"/>
      <c r="E108" s="301"/>
      <c r="F108" s="301"/>
      <c r="G108" s="301"/>
      <c r="H108" s="139">
        <f>'DADOS BÁSICOS 5º ANO'!$H$71</f>
        <v>0</v>
      </c>
      <c r="I108" s="71">
        <f t="shared" si="3"/>
        <v>0</v>
      </c>
    </row>
    <row r="109" spans="1:9">
      <c r="A109" s="287" t="s">
        <v>85</v>
      </c>
      <c r="B109" s="287"/>
      <c r="C109" s="287"/>
      <c r="D109" s="287"/>
      <c r="E109" s="287"/>
      <c r="F109" s="287"/>
      <c r="G109" s="287"/>
      <c r="H109" s="142">
        <f>H96+H105+H106+H107+H108</f>
        <v>8.5166000000000004</v>
      </c>
      <c r="I109" s="80">
        <f>I96+I105+I106+I107+I108</f>
        <v>76.400000000000006</v>
      </c>
    </row>
    <row r="110" spans="1:9">
      <c r="A110" s="143" t="s">
        <v>140</v>
      </c>
      <c r="B110" s="290" t="s">
        <v>141</v>
      </c>
      <c r="C110" s="290"/>
      <c r="D110" s="290"/>
      <c r="E110" s="290"/>
      <c r="F110" s="290"/>
      <c r="G110" s="290"/>
      <c r="H110" s="144"/>
      <c r="I110" s="145" t="s">
        <v>79</v>
      </c>
    </row>
    <row r="111" spans="1:9" ht="16.5" customHeight="1">
      <c r="A111" s="69" t="s">
        <v>58</v>
      </c>
      <c r="B111" s="286" t="s">
        <v>142</v>
      </c>
      <c r="C111" s="286"/>
      <c r="D111" s="286"/>
      <c r="E111" s="286"/>
      <c r="F111" s="286"/>
      <c r="G111" s="286"/>
      <c r="H111" s="48"/>
      <c r="I111" s="146">
        <v>0</v>
      </c>
    </row>
    <row r="112" spans="1:9" ht="14.25" customHeight="1">
      <c r="A112" s="287" t="s">
        <v>85</v>
      </c>
      <c r="B112" s="287"/>
      <c r="C112" s="287"/>
      <c r="D112" s="287"/>
      <c r="E112" s="287"/>
      <c r="F112" s="287"/>
      <c r="G112" s="287"/>
      <c r="H112" s="113"/>
      <c r="I112" s="147">
        <f>SUM(I111:I111)</f>
        <v>0</v>
      </c>
    </row>
    <row r="113" spans="1:9">
      <c r="A113" s="37" t="s">
        <v>143</v>
      </c>
      <c r="B113" s="63"/>
      <c r="C113" s="63"/>
      <c r="D113" s="63"/>
      <c r="E113" s="63"/>
      <c r="F113" s="63"/>
      <c r="G113" s="63"/>
      <c r="H113" s="64"/>
      <c r="I113" s="65"/>
    </row>
    <row r="114" spans="1:9" ht="16.5" customHeight="1">
      <c r="A114" s="66">
        <v>4</v>
      </c>
      <c r="B114" s="288" t="s">
        <v>144</v>
      </c>
      <c r="C114" s="288"/>
      <c r="D114" s="288"/>
      <c r="E114" s="288"/>
      <c r="F114" s="288"/>
      <c r="G114" s="288"/>
      <c r="H114" s="148"/>
      <c r="I114" s="68" t="s">
        <v>79</v>
      </c>
    </row>
    <row r="115" spans="1:9" ht="16.5" customHeight="1">
      <c r="A115" s="85" t="s">
        <v>132</v>
      </c>
      <c r="B115" s="284" t="s">
        <v>133</v>
      </c>
      <c r="C115" s="284"/>
      <c r="D115" s="284"/>
      <c r="E115" s="284"/>
      <c r="F115" s="284"/>
      <c r="G115" s="284"/>
      <c r="H115" s="149"/>
      <c r="I115" s="71">
        <f>I109</f>
        <v>76.400000000000006</v>
      </c>
    </row>
    <row r="116" spans="1:9" ht="16.5" customHeight="1">
      <c r="A116" s="85" t="s">
        <v>140</v>
      </c>
      <c r="B116" s="299" t="s">
        <v>145</v>
      </c>
      <c r="C116" s="299"/>
      <c r="D116" s="299"/>
      <c r="E116" s="299"/>
      <c r="F116" s="299"/>
      <c r="G116" s="299"/>
      <c r="H116" s="150"/>
      <c r="I116" s="71">
        <f>I112</f>
        <v>0</v>
      </c>
    </row>
    <row r="117" spans="1:9">
      <c r="A117" s="298" t="s">
        <v>85</v>
      </c>
      <c r="B117" s="298"/>
      <c r="C117" s="298"/>
      <c r="D117" s="298"/>
      <c r="E117" s="298"/>
      <c r="F117" s="298"/>
      <c r="G117" s="298"/>
      <c r="H117" s="151"/>
      <c r="I117" s="80">
        <f>SUM(I115:I116)</f>
        <v>76.400000000000006</v>
      </c>
    </row>
    <row r="118" spans="1:9" ht="24" customHeight="1">
      <c r="A118" s="37" t="s">
        <v>146</v>
      </c>
      <c r="B118" s="38"/>
      <c r="C118" s="38"/>
      <c r="D118" s="38"/>
      <c r="E118" s="38"/>
      <c r="F118" s="38"/>
      <c r="G118" s="38"/>
      <c r="H118" s="39"/>
      <c r="I118" s="40"/>
    </row>
    <row r="119" spans="1:9" ht="16.5" customHeight="1">
      <c r="A119" s="66">
        <v>5</v>
      </c>
      <c r="B119" s="288" t="s">
        <v>147</v>
      </c>
      <c r="C119" s="288"/>
      <c r="D119" s="288"/>
      <c r="E119" s="288"/>
      <c r="F119" s="288"/>
      <c r="G119" s="288"/>
      <c r="H119" s="148"/>
      <c r="I119" s="68" t="s">
        <v>79</v>
      </c>
    </row>
    <row r="120" spans="1:9">
      <c r="A120" s="154" t="s">
        <v>58</v>
      </c>
      <c r="B120" s="295" t="s">
        <v>40</v>
      </c>
      <c r="C120" s="295"/>
      <c r="D120" s="295"/>
      <c r="E120" s="295"/>
      <c r="F120" s="295"/>
      <c r="G120" s="295"/>
      <c r="H120" s="149"/>
      <c r="I120" s="71">
        <f>SUM(I121:I123)</f>
        <v>71.23</v>
      </c>
    </row>
    <row r="121" spans="1:9" ht="16.5" customHeight="1">
      <c r="A121" s="155" t="s">
        <v>219</v>
      </c>
      <c r="B121" s="286" t="s">
        <v>220</v>
      </c>
      <c r="C121" s="286"/>
      <c r="D121" s="286"/>
      <c r="E121" s="286"/>
      <c r="F121" s="286"/>
      <c r="G121" s="286"/>
      <c r="H121" s="149"/>
      <c r="I121" s="71">
        <f>'DADOS BÁSICOS 5º ANO'!$D$46</f>
        <v>35.61</v>
      </c>
    </row>
    <row r="122" spans="1:9" ht="16.5" customHeight="1">
      <c r="A122" s="158" t="s">
        <v>221</v>
      </c>
      <c r="B122" s="296" t="s">
        <v>223</v>
      </c>
      <c r="C122" s="296"/>
      <c r="D122" s="296"/>
      <c r="E122" s="296"/>
      <c r="F122" s="296"/>
      <c r="G122" s="296"/>
      <c r="H122" s="159">
        <f>(ROUNDUP(((H109*H11)/(365*0.6986)),0))/H11</f>
        <v>0.5</v>
      </c>
      <c r="I122" s="249">
        <f>'DADOS BÁSICOS 5º ANO'!$D$46*H122</f>
        <v>17.809999999999999</v>
      </c>
    </row>
    <row r="123" spans="1:9" ht="16.5" customHeight="1">
      <c r="A123" s="108" t="s">
        <v>222</v>
      </c>
      <c r="B123" s="297" t="s">
        <v>209</v>
      </c>
      <c r="C123" s="297"/>
      <c r="D123" s="297"/>
      <c r="E123" s="297"/>
      <c r="F123" s="297"/>
      <c r="G123" s="297"/>
      <c r="H123" s="161">
        <f>((ROUNDUP((H11/11),0))/H11)</f>
        <v>0.5</v>
      </c>
      <c r="I123" s="250">
        <f>'DADOS BÁSICOS 5º ANO'!$D$46*H123</f>
        <v>17.809999999999999</v>
      </c>
    </row>
    <row r="124" spans="1:9" ht="12.75" customHeight="1">
      <c r="A124" s="154" t="s">
        <v>60</v>
      </c>
      <c r="B124" s="295" t="s">
        <v>44</v>
      </c>
      <c r="C124" s="295"/>
      <c r="D124" s="295"/>
      <c r="E124" s="295"/>
      <c r="F124" s="295"/>
      <c r="G124" s="295"/>
      <c r="H124" s="149"/>
      <c r="I124" s="163">
        <f>'DADOS BÁSICOS 5º ANO'!$D$50/H10</f>
        <v>0</v>
      </c>
    </row>
    <row r="125" spans="1:9" ht="12.75" customHeight="1">
      <c r="A125" s="154" t="s">
        <v>62</v>
      </c>
      <c r="B125" s="295" t="s">
        <v>47</v>
      </c>
      <c r="C125" s="295"/>
      <c r="D125" s="295"/>
      <c r="E125" s="295"/>
      <c r="F125" s="295"/>
      <c r="G125" s="295"/>
      <c r="H125" s="149"/>
      <c r="I125" s="163">
        <f>SUM(I126:I128)</f>
        <v>0.24</v>
      </c>
    </row>
    <row r="126" spans="1:9" ht="12.75" customHeight="1">
      <c r="A126" s="69" t="s">
        <v>224</v>
      </c>
      <c r="B126" s="286" t="s">
        <v>226</v>
      </c>
      <c r="C126" s="286"/>
      <c r="D126" s="286"/>
      <c r="E126" s="286"/>
      <c r="F126" s="286"/>
      <c r="G126" s="286"/>
      <c r="H126" s="149"/>
      <c r="I126" s="163">
        <f>('DADOS BÁSICOS 5º ANO'!$G$54/'DADOS BÁSICOS 5º ANO'!$C$54)/(H$11+'RECEPÇÃO 5º ANO'!$H$11)</f>
        <v>0.28999999999999998</v>
      </c>
    </row>
    <row r="127" spans="1:9" ht="16.5" customHeight="1">
      <c r="A127" s="158" t="s">
        <v>225</v>
      </c>
      <c r="B127" s="296" t="s">
        <v>227</v>
      </c>
      <c r="C127" s="296"/>
      <c r="D127" s="296"/>
      <c r="E127" s="296"/>
      <c r="F127" s="296"/>
      <c r="G127" s="296"/>
      <c r="H127" s="159"/>
      <c r="I127" s="165">
        <f>(('DADOS BÁSICOS LICITAÇÃO'!$G$54/'DADOS BÁSICOS LICITAÇÃO'!$C$54)/(H$11+'RECEPÇÃO 5º ANO'!$H$11+(ROUNDUP(((H109*H11)/(365*0.6986)),0)+(ROUNDUP((('RECEPÇÃO 5º ANO'!H109*'RECEPÇÃO 5º ANO'!H11)/(365*0.6986)),0))))-I126)</f>
        <v>-0.02</v>
      </c>
    </row>
    <row r="128" spans="1:9" ht="19.5" customHeight="1">
      <c r="A128" s="108" t="s">
        <v>225</v>
      </c>
      <c r="B128" s="297" t="s">
        <v>210</v>
      </c>
      <c r="C128" s="297"/>
      <c r="D128" s="297"/>
      <c r="E128" s="297"/>
      <c r="F128" s="297"/>
      <c r="G128" s="297"/>
      <c r="H128" s="161"/>
      <c r="I128" s="251">
        <f>(('DADOS BÁSICOS 5º ANO'!$G$54/'DADOS BÁSICOS 5º ANO'!$C$54)/(H$11+'RECEPÇÃO 5º ANO'!$H$11+ROUNDUP((H11/11),0)+ROUNDUP(('RECEPÇÃO 5º ANO'!H11/11),0)))-I126</f>
        <v>-0.03</v>
      </c>
    </row>
    <row r="129" spans="1:9" ht="12.75" customHeight="1">
      <c r="A129" s="287" t="s">
        <v>85</v>
      </c>
      <c r="B129" s="287"/>
      <c r="C129" s="287"/>
      <c r="D129" s="287"/>
      <c r="E129" s="287"/>
      <c r="F129" s="287"/>
      <c r="G129" s="287"/>
      <c r="H129" s="113"/>
      <c r="I129" s="167">
        <f>I120+I124+I125</f>
        <v>71.47</v>
      </c>
    </row>
    <row r="130" spans="1:9" ht="12.75" customHeight="1">
      <c r="A130" s="289" t="s">
        <v>148</v>
      </c>
      <c r="B130" s="289"/>
      <c r="C130" s="289"/>
      <c r="D130" s="289"/>
      <c r="E130" s="289"/>
      <c r="F130" s="289"/>
      <c r="G130" s="289"/>
      <c r="H130" s="132" t="s">
        <v>93</v>
      </c>
      <c r="I130" s="168">
        <f>I29</f>
        <v>1533.52</v>
      </c>
    </row>
    <row r="131" spans="1:9" ht="16.5" customHeight="1">
      <c r="A131" s="289"/>
      <c r="B131" s="289"/>
      <c r="C131" s="289"/>
      <c r="D131" s="289"/>
      <c r="E131" s="289"/>
      <c r="F131" s="289"/>
      <c r="G131" s="289"/>
      <c r="H131" s="132" t="s">
        <v>94</v>
      </c>
      <c r="I131" s="168">
        <f>I80</f>
        <v>1644.85</v>
      </c>
    </row>
    <row r="132" spans="1:9" ht="12.75" customHeight="1">
      <c r="A132" s="289"/>
      <c r="B132" s="289"/>
      <c r="C132" s="289"/>
      <c r="D132" s="289"/>
      <c r="E132" s="289"/>
      <c r="F132" s="289"/>
      <c r="G132" s="289"/>
      <c r="H132" s="132" t="s">
        <v>95</v>
      </c>
      <c r="I132" s="168">
        <f>I89</f>
        <v>50.7</v>
      </c>
    </row>
    <row r="133" spans="1:9">
      <c r="A133" s="289"/>
      <c r="B133" s="289"/>
      <c r="C133" s="289"/>
      <c r="D133" s="289"/>
      <c r="E133" s="289"/>
      <c r="F133" s="289"/>
      <c r="G133" s="289"/>
      <c r="H133" s="132" t="s">
        <v>96</v>
      </c>
      <c r="I133" s="168">
        <f>I117</f>
        <v>76.400000000000006</v>
      </c>
    </row>
    <row r="134" spans="1:9">
      <c r="A134" s="289"/>
      <c r="B134" s="289"/>
      <c r="C134" s="289"/>
      <c r="D134" s="289"/>
      <c r="E134" s="289"/>
      <c r="F134" s="289"/>
      <c r="G134" s="289"/>
      <c r="H134" s="132" t="s">
        <v>97</v>
      </c>
      <c r="I134" s="82">
        <f>I129</f>
        <v>71.47</v>
      </c>
    </row>
    <row r="135" spans="1:9">
      <c r="A135" s="289"/>
      <c r="B135" s="289"/>
      <c r="C135" s="289"/>
      <c r="D135" s="289"/>
      <c r="E135" s="289"/>
      <c r="F135" s="289"/>
      <c r="G135" s="289"/>
      <c r="H135" s="132" t="s">
        <v>85</v>
      </c>
      <c r="I135" s="82">
        <f>SUM(I130:I134)</f>
        <v>3376.94</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5º ANO'!$S8</f>
        <v>0.05</v>
      </c>
      <c r="I138" s="71">
        <f>(H138*I135)</f>
        <v>168.85</v>
      </c>
    </row>
    <row r="139" spans="1:9">
      <c r="A139" s="69" t="s">
        <v>60</v>
      </c>
      <c r="B139" s="291" t="s">
        <v>152</v>
      </c>
      <c r="C139" s="292"/>
      <c r="D139" s="292"/>
      <c r="E139" s="292"/>
      <c r="F139" s="292"/>
      <c r="G139" s="293"/>
      <c r="H139" s="124">
        <f>'DADOS BÁSICOS 5º ANO'!$T8</f>
        <v>0.05</v>
      </c>
      <c r="I139" s="71">
        <f>H139*(I135+I138)</f>
        <v>177.29</v>
      </c>
    </row>
    <row r="140" spans="1:9">
      <c r="A140" s="69" t="s">
        <v>62</v>
      </c>
      <c r="B140" s="294" t="s">
        <v>153</v>
      </c>
      <c r="C140" s="294"/>
      <c r="D140" s="294"/>
      <c r="E140" s="294"/>
      <c r="F140" s="294"/>
      <c r="G140" s="294"/>
      <c r="H140" s="169">
        <f>SUM(H141+H142+H143)</f>
        <v>8.6499999999999994E-2</v>
      </c>
      <c r="I140" s="170">
        <f>SUM(I141:I143)</f>
        <v>352.54</v>
      </c>
    </row>
    <row r="141" spans="1:9">
      <c r="A141" s="154"/>
      <c r="B141" s="286" t="s">
        <v>154</v>
      </c>
      <c r="C141" s="286"/>
      <c r="D141" s="286"/>
      <c r="E141" s="286"/>
      <c r="F141" s="286"/>
      <c r="G141" s="286"/>
      <c r="H141" s="127">
        <f>IF('DADOS BÁSICOS 5º ANO'!$B$25="LUCRO PRESUMIDO",'DADOS BÁSICOS 5º ANO'!$B$28,'DADOS BÁSICOS 5º ANO'!$C$28)</f>
        <v>0.03</v>
      </c>
      <c r="I141" s="71">
        <f>SUM(H141*I154)</f>
        <v>122.27</v>
      </c>
    </row>
    <row r="142" spans="1:9">
      <c r="A142" s="154"/>
      <c r="B142" s="286" t="s">
        <v>155</v>
      </c>
      <c r="C142" s="286"/>
      <c r="D142" s="286"/>
      <c r="E142" s="286"/>
      <c r="F142" s="286"/>
      <c r="G142" s="286"/>
      <c r="H142" s="127">
        <f>IF('DADOS BÁSICOS 5º ANO'!$B$25="LUCRO PRESUMIDO",'DADOS BÁSICOS 5º ANO'!$B$27,'DADOS BÁSICOS 5º ANO'!$C$27)</f>
        <v>6.4999999999999997E-3</v>
      </c>
      <c r="I142" s="71">
        <f>SUM(H142*I154)</f>
        <v>26.49</v>
      </c>
    </row>
    <row r="143" spans="1:9">
      <c r="A143" s="154"/>
      <c r="B143" s="286" t="s">
        <v>156</v>
      </c>
      <c r="C143" s="286"/>
      <c r="D143" s="286"/>
      <c r="E143" s="286"/>
      <c r="F143" s="286"/>
      <c r="G143" s="286"/>
      <c r="H143" s="127">
        <f>'DADOS BÁSICOS 5º ANO'!U8</f>
        <v>0.05</v>
      </c>
      <c r="I143" s="71">
        <f>SUM(H143*I154)</f>
        <v>203.78</v>
      </c>
    </row>
    <row r="144" spans="1:9">
      <c r="A144" s="287" t="s">
        <v>85</v>
      </c>
      <c r="B144" s="287"/>
      <c r="C144" s="287"/>
      <c r="D144" s="287"/>
      <c r="E144" s="287"/>
      <c r="F144" s="287"/>
      <c r="G144" s="287"/>
      <c r="H144" s="171"/>
      <c r="I144" s="80">
        <f>SUM(I138+I139+I141+I142+I143)</f>
        <v>698.68</v>
      </c>
    </row>
    <row r="145" spans="1:9">
      <c r="A145" s="172" t="s">
        <v>157</v>
      </c>
      <c r="B145" s="173"/>
      <c r="C145" s="173"/>
      <c r="D145" s="173"/>
      <c r="E145" s="173"/>
      <c r="F145" s="173"/>
      <c r="G145" s="173"/>
      <c r="H145" s="174"/>
      <c r="I145" s="175"/>
    </row>
    <row r="146" spans="1:9">
      <c r="A146" s="288" t="s">
        <v>158</v>
      </c>
      <c r="B146" s="288"/>
      <c r="C146" s="288"/>
      <c r="D146" s="288"/>
      <c r="E146" s="288"/>
      <c r="F146" s="288"/>
      <c r="G146" s="288"/>
      <c r="H146" s="148"/>
      <c r="I146" s="84" t="s">
        <v>79</v>
      </c>
    </row>
    <row r="147" spans="1:9">
      <c r="A147" s="176" t="s">
        <v>58</v>
      </c>
      <c r="B147" s="284" t="s">
        <v>159</v>
      </c>
      <c r="C147" s="284"/>
      <c r="D147" s="284"/>
      <c r="E147" s="284"/>
      <c r="F147" s="284"/>
      <c r="G147" s="284"/>
      <c r="H147" s="48"/>
      <c r="I147" s="177">
        <f>I29</f>
        <v>1533.52</v>
      </c>
    </row>
    <row r="148" spans="1:9">
      <c r="A148" s="176" t="s">
        <v>60</v>
      </c>
      <c r="B148" s="284" t="s">
        <v>121</v>
      </c>
      <c r="C148" s="284"/>
      <c r="D148" s="284"/>
      <c r="E148" s="284"/>
      <c r="F148" s="284"/>
      <c r="G148" s="284"/>
      <c r="H148" s="178"/>
      <c r="I148" s="177">
        <f>I80</f>
        <v>1644.85</v>
      </c>
    </row>
    <row r="149" spans="1:9">
      <c r="A149" s="176" t="s">
        <v>62</v>
      </c>
      <c r="B149" s="284" t="s">
        <v>160</v>
      </c>
      <c r="C149" s="284"/>
      <c r="D149" s="284"/>
      <c r="E149" s="284"/>
      <c r="F149" s="284"/>
      <c r="G149" s="284"/>
      <c r="H149" s="178"/>
      <c r="I149" s="177">
        <f>I89</f>
        <v>50.7</v>
      </c>
    </row>
    <row r="150" spans="1:9">
      <c r="A150" s="176" t="s">
        <v>64</v>
      </c>
      <c r="B150" s="284" t="s">
        <v>144</v>
      </c>
      <c r="C150" s="284"/>
      <c r="D150" s="284"/>
      <c r="E150" s="284"/>
      <c r="F150" s="284"/>
      <c r="G150" s="284"/>
      <c r="H150" s="178"/>
      <c r="I150" s="177">
        <f>I117</f>
        <v>76.400000000000006</v>
      </c>
    </row>
    <row r="151" spans="1:9">
      <c r="A151" s="176" t="s">
        <v>66</v>
      </c>
      <c r="B151" s="284" t="s">
        <v>161</v>
      </c>
      <c r="C151" s="284"/>
      <c r="D151" s="284"/>
      <c r="E151" s="284"/>
      <c r="F151" s="284"/>
      <c r="G151" s="284"/>
      <c r="H151" s="178"/>
      <c r="I151" s="177">
        <f>I129</f>
        <v>71.47</v>
      </c>
    </row>
    <row r="152" spans="1:9">
      <c r="A152" s="285" t="s">
        <v>162</v>
      </c>
      <c r="B152" s="285"/>
      <c r="C152" s="285"/>
      <c r="D152" s="285"/>
      <c r="E152" s="285"/>
      <c r="F152" s="285"/>
      <c r="G152" s="285"/>
      <c r="H152" s="179"/>
      <c r="I152" s="180">
        <f>SUM(I147:I151)</f>
        <v>3376.94</v>
      </c>
    </row>
    <row r="153" spans="1:9">
      <c r="A153" s="181" t="s">
        <v>84</v>
      </c>
      <c r="B153" s="286" t="s">
        <v>163</v>
      </c>
      <c r="C153" s="286"/>
      <c r="D153" s="286"/>
      <c r="E153" s="286"/>
      <c r="F153" s="286"/>
      <c r="G153" s="286"/>
      <c r="H153" s="48"/>
      <c r="I153" s="182">
        <f>I144</f>
        <v>698.68</v>
      </c>
    </row>
    <row r="154" spans="1:9" ht="17" thickBot="1">
      <c r="A154" s="285" t="s">
        <v>164</v>
      </c>
      <c r="B154" s="285"/>
      <c r="C154" s="285"/>
      <c r="D154" s="285"/>
      <c r="E154" s="285"/>
      <c r="F154" s="285"/>
      <c r="G154" s="285"/>
      <c r="H154" s="183"/>
      <c r="I154" s="184">
        <f>SUM(I152+I138+I139)/(1-H140)</f>
        <v>4075.62</v>
      </c>
    </row>
    <row r="155" spans="1:9">
      <c r="A155" s="172" t="s">
        <v>165</v>
      </c>
      <c r="B155" s="185"/>
      <c r="C155" s="185"/>
      <c r="D155" s="185"/>
      <c r="E155" s="185"/>
      <c r="F155" s="185"/>
      <c r="G155" s="185"/>
      <c r="H155" s="186" t="s">
        <v>166</v>
      </c>
      <c r="I155" s="185" t="s">
        <v>79</v>
      </c>
    </row>
    <row r="156" spans="1:9">
      <c r="A156" s="43" t="s">
        <v>198</v>
      </c>
      <c r="B156" s="283" t="s">
        <v>27</v>
      </c>
      <c r="C156" s="283"/>
      <c r="D156" s="283"/>
      <c r="E156" s="283"/>
      <c r="F156" s="283"/>
      <c r="G156" s="283"/>
      <c r="H156" s="187">
        <f>H11</f>
        <v>2</v>
      </c>
      <c r="I156" s="188">
        <f>H156*I154</f>
        <v>8151.24</v>
      </c>
    </row>
    <row r="157" spans="1:9">
      <c r="I157" s="35"/>
    </row>
    <row r="158" spans="1:9">
      <c r="I158" s="35"/>
    </row>
    <row r="159" spans="1:9">
      <c r="I159" s="35"/>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VHTsW7lBdjPwakFQsw+JN59jr3GTL21IO2fbOGuOX8HEBeLEbfh4kF6WLvrxwUYzURBMNgycS2DWTfIop/M3gg==" saltValue="pWeQMj3npYKsxW5RK/zA7Q==" spinCount="100000" sheet="1" objects="1" scenarios="1"/>
  <mergeCells count="156">
    <mergeCell ref="B7:G7"/>
    <mergeCell ref="H7:I7"/>
    <mergeCell ref="B8:G8"/>
    <mergeCell ref="H8:I8"/>
    <mergeCell ref="B9:G9"/>
    <mergeCell ref="H9:I9"/>
    <mergeCell ref="A1:I1"/>
    <mergeCell ref="A6:I6"/>
    <mergeCell ref="A2:B2"/>
    <mergeCell ref="C2:D2"/>
    <mergeCell ref="E2:I2"/>
    <mergeCell ref="A3:B3"/>
    <mergeCell ref="C3:D3"/>
    <mergeCell ref="E3:I3"/>
    <mergeCell ref="A4:B4"/>
    <mergeCell ref="C4:D4"/>
    <mergeCell ref="E4:I4"/>
    <mergeCell ref="A5:B5"/>
    <mergeCell ref="C5:D5"/>
    <mergeCell ref="E5:I5"/>
    <mergeCell ref="B14:G14"/>
    <mergeCell ref="H14:I14"/>
    <mergeCell ref="B15:G15"/>
    <mergeCell ref="H15:I15"/>
    <mergeCell ref="B16:G16"/>
    <mergeCell ref="H16:I16"/>
    <mergeCell ref="B10:G10"/>
    <mergeCell ref="H10:I10"/>
    <mergeCell ref="B11:G11"/>
    <mergeCell ref="H11:I11"/>
    <mergeCell ref="B13:G13"/>
    <mergeCell ref="H13:I13"/>
    <mergeCell ref="B20:G20"/>
    <mergeCell ref="H20:I20"/>
    <mergeCell ref="B22:G22"/>
    <mergeCell ref="B23:G23"/>
    <mergeCell ref="B24:G24"/>
    <mergeCell ref="B25:G25"/>
    <mergeCell ref="B17:G17"/>
    <mergeCell ref="H17:I17"/>
    <mergeCell ref="B18:G18"/>
    <mergeCell ref="H18:I18"/>
    <mergeCell ref="B19:G19"/>
    <mergeCell ref="H19:I19"/>
    <mergeCell ref="B32:G32"/>
    <mergeCell ref="B33:G33"/>
    <mergeCell ref="C34:G34"/>
    <mergeCell ref="C35:G35"/>
    <mergeCell ref="C36:G36"/>
    <mergeCell ref="C37:G37"/>
    <mergeCell ref="B26:G26"/>
    <mergeCell ref="B27:G27"/>
    <mergeCell ref="B28:D28"/>
    <mergeCell ref="E28:G28"/>
    <mergeCell ref="A29:G29"/>
    <mergeCell ref="B31:G31"/>
    <mergeCell ref="B47:G47"/>
    <mergeCell ref="B48:G48"/>
    <mergeCell ref="B49:G49"/>
    <mergeCell ref="B50:G50"/>
    <mergeCell ref="B51:G51"/>
    <mergeCell ref="B52:G52"/>
    <mergeCell ref="C38:G38"/>
    <mergeCell ref="C39:G39"/>
    <mergeCell ref="A40:G40"/>
    <mergeCell ref="A41:G43"/>
    <mergeCell ref="B45:G45"/>
    <mergeCell ref="B46:G46"/>
    <mergeCell ref="B61:G61"/>
    <mergeCell ref="I61:I64"/>
    <mergeCell ref="B62:G62"/>
    <mergeCell ref="B63:G63"/>
    <mergeCell ref="B64:G64"/>
    <mergeCell ref="B65:G65"/>
    <mergeCell ref="B53:G53"/>
    <mergeCell ref="A54:G54"/>
    <mergeCell ref="B56:G56"/>
    <mergeCell ref="B57:G57"/>
    <mergeCell ref="I57:I60"/>
    <mergeCell ref="B58:G58"/>
    <mergeCell ref="B59:G59"/>
    <mergeCell ref="B60:G60"/>
    <mergeCell ref="B72:G72"/>
    <mergeCell ref="B73:G73"/>
    <mergeCell ref="A74:G74"/>
    <mergeCell ref="B76:G76"/>
    <mergeCell ref="B77:G77"/>
    <mergeCell ref="B78:G78"/>
    <mergeCell ref="B66:G66"/>
    <mergeCell ref="B67:G67"/>
    <mergeCell ref="B68:G68"/>
    <mergeCell ref="B69:G69"/>
    <mergeCell ref="B70:G70"/>
    <mergeCell ref="B71:G71"/>
    <mergeCell ref="B86:G86"/>
    <mergeCell ref="B87:G87"/>
    <mergeCell ref="B88:G88"/>
    <mergeCell ref="A89:G89"/>
    <mergeCell ref="A90:G93"/>
    <mergeCell ref="B96:G96"/>
    <mergeCell ref="B79:G79"/>
    <mergeCell ref="A80:G80"/>
    <mergeCell ref="B82:G82"/>
    <mergeCell ref="B83:G83"/>
    <mergeCell ref="B84:G84"/>
    <mergeCell ref="B85:G85"/>
    <mergeCell ref="B103:G103"/>
    <mergeCell ref="B104:G104"/>
    <mergeCell ref="B105:G105"/>
    <mergeCell ref="B106:G106"/>
    <mergeCell ref="B107:G107"/>
    <mergeCell ref="B108:G108"/>
    <mergeCell ref="B97:G97"/>
    <mergeCell ref="B98:G98"/>
    <mergeCell ref="B99:G99"/>
    <mergeCell ref="B100:G100"/>
    <mergeCell ref="B101:G101"/>
    <mergeCell ref="B102:G102"/>
    <mergeCell ref="B116:G116"/>
    <mergeCell ref="A117:G117"/>
    <mergeCell ref="B119:G119"/>
    <mergeCell ref="B120:G120"/>
    <mergeCell ref="B121:G121"/>
    <mergeCell ref="B122:G122"/>
    <mergeCell ref="A109:G109"/>
    <mergeCell ref="B110:G110"/>
    <mergeCell ref="B111:G111"/>
    <mergeCell ref="A112:G112"/>
    <mergeCell ref="B114:G114"/>
    <mergeCell ref="B115:G115"/>
    <mergeCell ref="A129:G129"/>
    <mergeCell ref="A130:G135"/>
    <mergeCell ref="B137:G137"/>
    <mergeCell ref="B138:G138"/>
    <mergeCell ref="B139:G139"/>
    <mergeCell ref="B140:G140"/>
    <mergeCell ref="B123:G123"/>
    <mergeCell ref="B124:G124"/>
    <mergeCell ref="B125:G125"/>
    <mergeCell ref="B126:G126"/>
    <mergeCell ref="B127:G127"/>
    <mergeCell ref="B128:G128"/>
    <mergeCell ref="A154:G154"/>
    <mergeCell ref="B156:G156"/>
    <mergeCell ref="B148:G148"/>
    <mergeCell ref="B149:G149"/>
    <mergeCell ref="B150:G150"/>
    <mergeCell ref="B151:G151"/>
    <mergeCell ref="A152:G152"/>
    <mergeCell ref="B153:G153"/>
    <mergeCell ref="B141:G141"/>
    <mergeCell ref="B142:G142"/>
    <mergeCell ref="B143:G143"/>
    <mergeCell ref="A144:G144"/>
    <mergeCell ref="A146:G146"/>
    <mergeCell ref="B147:G147"/>
  </mergeCells>
  <pageMargins left="0.511811024" right="0.511811024" top="0.78740157500000008" bottom="0.78740157500000008" header="0.31496062000000008" footer="0.31496062000000008"/>
  <pageSetup paperSize="9" scale="65" fitToWidth="0"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51A26-D437-416F-AEA7-565DA5C9F0B1}">
  <dimension ref="A1:I20"/>
  <sheetViews>
    <sheetView workbookViewId="0">
      <selection activeCell="H9" sqref="H9"/>
    </sheetView>
  </sheetViews>
  <sheetFormatPr defaultColWidth="8.7265625" defaultRowHeight="16.5"/>
  <cols>
    <col min="1" max="1" width="7.54296875" style="228" bestFit="1" customWidth="1"/>
    <col min="2" max="2" width="5.7265625" style="228" bestFit="1" customWidth="1"/>
    <col min="3" max="3" width="42.54296875" style="228" bestFit="1" customWidth="1"/>
    <col min="4" max="4" width="15.7265625" style="228" bestFit="1" customWidth="1"/>
    <col min="5" max="5" width="15.54296875" style="228" bestFit="1" customWidth="1"/>
    <col min="6" max="6" width="13.54296875" style="228" bestFit="1" customWidth="1"/>
    <col min="7" max="7" width="17.81640625" style="228" customWidth="1"/>
    <col min="8" max="8" width="17.7265625" style="228" bestFit="1" customWidth="1"/>
    <col min="9" max="9" width="15.81640625" style="228" customWidth="1"/>
    <col min="10" max="10" width="15.81640625" style="228" bestFit="1" customWidth="1"/>
    <col min="11" max="11" width="17.7265625" style="228" customWidth="1"/>
    <col min="12" max="13" width="8.7265625" style="228" customWidth="1"/>
    <col min="14" max="14" width="15.81640625" style="228" bestFit="1" customWidth="1"/>
    <col min="15" max="15" width="8.7265625" style="228" customWidth="1"/>
    <col min="16" max="16384" width="8.7265625" style="228"/>
  </cols>
  <sheetData>
    <row r="1" spans="1:9">
      <c r="A1" s="396" t="s">
        <v>0</v>
      </c>
      <c r="B1" s="396"/>
      <c r="C1" s="396"/>
      <c r="D1" s="396"/>
      <c r="E1" s="396"/>
      <c r="F1" s="396"/>
      <c r="G1" s="396"/>
      <c r="H1" s="396"/>
      <c r="I1" s="396"/>
    </row>
    <row r="2" spans="1:9">
      <c r="A2" s="396"/>
      <c r="B2" s="396"/>
      <c r="C2" s="396"/>
      <c r="D2" s="396"/>
      <c r="E2" s="396"/>
      <c r="F2" s="396"/>
      <c r="G2" s="396"/>
      <c r="H2" s="396"/>
      <c r="I2" s="396"/>
    </row>
    <row r="3" spans="1:9">
      <c r="A3" s="396"/>
      <c r="B3" s="396"/>
      <c r="C3" s="396"/>
      <c r="D3" s="396"/>
      <c r="E3" s="396"/>
      <c r="F3" s="396"/>
      <c r="G3" s="396"/>
      <c r="H3" s="396"/>
      <c r="I3" s="396"/>
    </row>
    <row r="5" spans="1:9" ht="17" thickBot="1"/>
    <row r="6" spans="1:9" ht="63.75" customHeight="1">
      <c r="A6" s="229" t="s">
        <v>1</v>
      </c>
      <c r="B6" s="230" t="s">
        <v>2</v>
      </c>
      <c r="C6" s="231" t="s">
        <v>3</v>
      </c>
      <c r="D6" s="231" t="s">
        <v>4</v>
      </c>
      <c r="E6" s="231" t="s">
        <v>5</v>
      </c>
      <c r="F6" s="232" t="s">
        <v>6</v>
      </c>
      <c r="G6" s="231" t="s">
        <v>167</v>
      </c>
      <c r="H6" s="231" t="s">
        <v>7</v>
      </c>
      <c r="I6" s="233" t="s">
        <v>8</v>
      </c>
    </row>
    <row r="7" spans="1:9">
      <c r="A7" s="398">
        <v>1</v>
      </c>
      <c r="B7" s="234">
        <v>1</v>
      </c>
      <c r="C7" s="235" t="s">
        <v>173</v>
      </c>
      <c r="D7" s="236" t="str">
        <f>'RECEPÇÃO 5º ANO'!H8</f>
        <v>Curitiba/PR</v>
      </c>
      <c r="E7" s="236">
        <f>'RECEPÇÃO 5º ANO'!H11</f>
        <v>46</v>
      </c>
      <c r="F7" s="236">
        <v>1</v>
      </c>
      <c r="G7" s="237">
        <f>'RECEPÇÃO 5º ANO'!I154</f>
        <v>4594.8999999999996</v>
      </c>
      <c r="H7" s="237">
        <f>G7*E7</f>
        <v>211365.4</v>
      </c>
      <c r="I7" s="238">
        <f>H7*12</f>
        <v>2536384.7999999998</v>
      </c>
    </row>
    <row r="8" spans="1:9">
      <c r="A8" s="398"/>
      <c r="B8" s="234">
        <v>2</v>
      </c>
      <c r="C8" s="235" t="s">
        <v>173</v>
      </c>
      <c r="D8" s="236" t="str">
        <f>'RECEPÇÃO 5º ANO'!J8</f>
        <v>Guarapuava/PR</v>
      </c>
      <c r="E8" s="236">
        <f>'RECEPÇÃO 5º ANO'!J11</f>
        <v>4</v>
      </c>
      <c r="F8" s="236">
        <v>1</v>
      </c>
      <c r="G8" s="237">
        <f>'RECEPÇÃO 5º ANO'!K154</f>
        <v>4552.24</v>
      </c>
      <c r="H8" s="237">
        <f t="shared" ref="H8:H13" si="0">G8*E8</f>
        <v>18208.96</v>
      </c>
      <c r="I8" s="238">
        <f t="shared" ref="I8:I13" si="1">H8*12</f>
        <v>218507.51999999999</v>
      </c>
    </row>
    <row r="9" spans="1:9">
      <c r="A9" s="398"/>
      <c r="B9" s="234">
        <v>3</v>
      </c>
      <c r="C9" s="235" t="s">
        <v>173</v>
      </c>
      <c r="D9" s="236" t="str">
        <f>'RECEPÇÃO 5º ANO'!L8</f>
        <v>Londrina/PR</v>
      </c>
      <c r="E9" s="236">
        <f>'RECEPÇÃO 5º ANO'!L11</f>
        <v>14</v>
      </c>
      <c r="F9" s="236">
        <v>1</v>
      </c>
      <c r="G9" s="237">
        <f>'RECEPÇÃO 5º ANO'!M154</f>
        <v>4535</v>
      </c>
      <c r="H9" s="237">
        <f t="shared" si="0"/>
        <v>63490</v>
      </c>
      <c r="I9" s="238">
        <f t="shared" si="1"/>
        <v>761880</v>
      </c>
    </row>
    <row r="10" spans="1:9">
      <c r="A10" s="398"/>
      <c r="B10" s="234">
        <v>4</v>
      </c>
      <c r="C10" s="235" t="s">
        <v>173</v>
      </c>
      <c r="D10" s="236" t="str">
        <f>'RECEPÇÃO 5º ANO'!N8</f>
        <v>Maringá/PR</v>
      </c>
      <c r="E10" s="236">
        <f>'RECEPÇÃO 5º ANO'!N11</f>
        <v>12</v>
      </c>
      <c r="F10" s="236">
        <v>1</v>
      </c>
      <c r="G10" s="237">
        <f>'RECEPÇÃO 5º ANO'!O154</f>
        <v>4490.7</v>
      </c>
      <c r="H10" s="237">
        <f t="shared" si="0"/>
        <v>53888.4</v>
      </c>
      <c r="I10" s="238">
        <f t="shared" si="1"/>
        <v>646660.80000000005</v>
      </c>
    </row>
    <row r="11" spans="1:9">
      <c r="A11" s="398"/>
      <c r="B11" s="234">
        <v>5</v>
      </c>
      <c r="C11" s="235" t="s">
        <v>173</v>
      </c>
      <c r="D11" s="236" t="str">
        <f>'RECEPÇÃO 5º ANO'!P8</f>
        <v>Paranaguá/PR</v>
      </c>
      <c r="E11" s="236">
        <f>'RECEPÇÃO 5º ANO'!P11</f>
        <v>6</v>
      </c>
      <c r="F11" s="236">
        <v>1</v>
      </c>
      <c r="G11" s="237">
        <f>'RECEPÇÃO 5º ANO'!Q154</f>
        <v>4511.5</v>
      </c>
      <c r="H11" s="237">
        <f t="shared" si="0"/>
        <v>27069</v>
      </c>
      <c r="I11" s="238">
        <f t="shared" si="1"/>
        <v>324828</v>
      </c>
    </row>
    <row r="12" spans="1:9">
      <c r="A12" s="398"/>
      <c r="B12" s="234">
        <v>6</v>
      </c>
      <c r="C12" s="235" t="s">
        <v>173</v>
      </c>
      <c r="D12" s="236" t="str">
        <f>'RECEPÇÃO 5º ANO'!R8</f>
        <v>Ponta Grossa/PR</v>
      </c>
      <c r="E12" s="236">
        <f>'RECEPÇÃO 5º ANO'!R11</f>
        <v>4</v>
      </c>
      <c r="F12" s="236">
        <v>1</v>
      </c>
      <c r="G12" s="237">
        <f>'RECEPÇÃO 5º ANO'!S154</f>
        <v>4601.16</v>
      </c>
      <c r="H12" s="237">
        <f t="shared" si="0"/>
        <v>18404.64</v>
      </c>
      <c r="I12" s="238">
        <f t="shared" si="1"/>
        <v>220855.67999999999</v>
      </c>
    </row>
    <row r="13" spans="1:9">
      <c r="A13" s="398"/>
      <c r="B13" s="234">
        <v>7</v>
      </c>
      <c r="C13" s="235" t="s">
        <v>174</v>
      </c>
      <c r="D13" s="236" t="str">
        <f>'TELEFONISTA 5º ANO'!H8</f>
        <v>Curitiba/PR</v>
      </c>
      <c r="E13" s="236">
        <f>'TELEFONISTA 5º ANO'!H11</f>
        <v>2</v>
      </c>
      <c r="F13" s="236">
        <v>1</v>
      </c>
      <c r="G13" s="237">
        <f>'TELEFONISTA 5º ANO'!I154</f>
        <v>4075.62</v>
      </c>
      <c r="H13" s="237">
        <f t="shared" si="0"/>
        <v>8151.24</v>
      </c>
      <c r="I13" s="238">
        <f t="shared" si="1"/>
        <v>97814.88</v>
      </c>
    </row>
    <row r="14" spans="1:9" ht="17" thickBot="1">
      <c r="A14" s="399" t="s">
        <v>178</v>
      </c>
      <c r="B14" s="400"/>
      <c r="C14" s="400"/>
      <c r="D14" s="400"/>
      <c r="E14" s="239">
        <f>SUM(E7:E13)</f>
        <v>88</v>
      </c>
      <c r="F14" s="239">
        <v>1</v>
      </c>
      <c r="G14" s="240"/>
      <c r="H14" s="241">
        <f>SUM(H7:H13)</f>
        <v>400577.64</v>
      </c>
      <c r="I14" s="242">
        <f>SUM(I7:I13)</f>
        <v>4806931.68</v>
      </c>
    </row>
    <row r="15" spans="1:9">
      <c r="C15" s="243"/>
      <c r="D15" s="243"/>
      <c r="E15" s="243"/>
      <c r="F15" s="243"/>
      <c r="G15" s="243"/>
    </row>
    <row r="16" spans="1:9">
      <c r="B16" s="397"/>
      <c r="C16" s="397"/>
      <c r="D16" s="397"/>
      <c r="E16" s="397"/>
      <c r="F16" s="397"/>
      <c r="G16" s="397"/>
      <c r="H16" s="397"/>
      <c r="I16" s="397"/>
    </row>
    <row r="17" spans="3:7">
      <c r="C17" s="397"/>
      <c r="D17" s="397"/>
      <c r="E17" s="397"/>
      <c r="F17" s="245"/>
      <c r="G17" s="245"/>
    </row>
    <row r="18" spans="3:7">
      <c r="E18" s="243"/>
      <c r="F18" s="243"/>
      <c r="G18" s="243"/>
    </row>
    <row r="19" spans="3:7">
      <c r="E19" s="243"/>
      <c r="F19" s="243"/>
      <c r="G19" s="243"/>
    </row>
    <row r="20" spans="3:7">
      <c r="E20" s="243"/>
      <c r="F20" s="243"/>
      <c r="G20" s="243"/>
    </row>
  </sheetData>
  <sheetProtection algorithmName="SHA-512" hashValue="px2dJsOHLIBxqQ47eeAhscQX94PVzXSXV7wkCqucFfOacrl4cxL82W2VmkBK9GnxSd4ux/RvBcfMNXuzJ1RS7A==" saltValue="y872wHPJLY9FODG308ctqg==" spinCount="100000" sheet="1" objects="1" scenarios="1"/>
  <mergeCells count="5">
    <mergeCell ref="A1:I3"/>
    <mergeCell ref="A7:A13"/>
    <mergeCell ref="A14:D14"/>
    <mergeCell ref="B16:I16"/>
    <mergeCell ref="C17:E17"/>
  </mergeCells>
  <pageMargins left="0.511811023622047" right="0.511811023622047" top="0.78740157480315021" bottom="0.78740157480315021" header="0.31496062992126012" footer="0.31496062992126012"/>
  <pageSetup paperSize="9" scale="54" fitToWidth="0"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U71"/>
  <sheetViews>
    <sheetView tabSelected="1" zoomScaleNormal="100" workbookViewId="0">
      <selection activeCell="C11" sqref="C11"/>
    </sheetView>
  </sheetViews>
  <sheetFormatPr defaultColWidth="8.26953125" defaultRowHeight="16"/>
  <cols>
    <col min="1" max="1" width="25.81640625" style="34" bestFit="1" customWidth="1"/>
    <col min="2" max="2" width="21.7265625" style="26" customWidth="1"/>
    <col min="3" max="3" width="21.7265625" style="26" bestFit="1" customWidth="1"/>
    <col min="4" max="4" width="20.453125" style="26" bestFit="1" customWidth="1"/>
    <col min="5" max="5" width="14.26953125" style="26" customWidth="1"/>
    <col min="6" max="6" width="16.26953125" style="26" customWidth="1"/>
    <col min="7" max="7" width="16.1796875" style="26" customWidth="1"/>
    <col min="8" max="8" width="15.08984375" style="26" customWidth="1"/>
    <col min="9" max="9" width="14.6328125" style="26" customWidth="1"/>
    <col min="10" max="10" width="13.81640625" style="26" customWidth="1"/>
    <col min="11" max="11" width="11.81640625" style="26" customWidth="1"/>
    <col min="12" max="12" width="14.81640625" style="26" customWidth="1"/>
    <col min="13" max="13" width="15.54296875" style="26" bestFit="1" customWidth="1"/>
    <col min="14" max="14" width="8.1796875" style="26" bestFit="1" customWidth="1"/>
    <col min="15" max="15" width="10" style="26" bestFit="1" customWidth="1"/>
    <col min="16" max="16" width="13.90625" style="26" customWidth="1"/>
    <col min="17" max="17" width="12.54296875" style="26" customWidth="1"/>
    <col min="18" max="18" width="11.7265625" style="26" customWidth="1"/>
    <col min="19" max="19" width="10.36328125" style="26" customWidth="1"/>
    <col min="20" max="20" width="10.08984375" style="26" customWidth="1"/>
    <col min="21" max="21" width="8.81640625" style="26" bestFit="1" customWidth="1"/>
    <col min="22" max="22" width="8.26953125" style="26"/>
    <col min="23" max="23" width="11" style="26" bestFit="1" customWidth="1"/>
    <col min="24" max="16384" width="8.26953125" style="26"/>
  </cols>
  <sheetData>
    <row r="1" spans="1:21" ht="33" customHeight="1">
      <c r="A1" s="361" t="s">
        <v>9</v>
      </c>
      <c r="B1" s="362"/>
      <c r="C1" s="362"/>
      <c r="D1" s="362"/>
      <c r="E1" s="362"/>
      <c r="F1" s="362"/>
      <c r="G1" s="362"/>
      <c r="H1" s="362"/>
      <c r="I1" s="362"/>
      <c r="J1" s="362"/>
      <c r="K1" s="362"/>
      <c r="L1" s="362"/>
      <c r="M1" s="362"/>
      <c r="N1" s="362"/>
      <c r="O1" s="362"/>
      <c r="P1" s="362"/>
      <c r="Q1" s="362"/>
      <c r="R1" s="362"/>
      <c r="S1" s="362"/>
      <c r="T1" s="362"/>
      <c r="U1" s="363"/>
    </row>
    <row r="2" spans="1:21" ht="18">
      <c r="A2" s="358" t="s">
        <v>276</v>
      </c>
      <c r="B2" s="359"/>
      <c r="C2" s="359"/>
      <c r="D2" s="359"/>
      <c r="E2" s="359"/>
      <c r="F2" s="359"/>
      <c r="G2" s="359"/>
      <c r="H2" s="359"/>
      <c r="I2" s="359"/>
      <c r="J2" s="359"/>
      <c r="K2" s="359"/>
      <c r="L2" s="359"/>
      <c r="M2" s="359"/>
      <c r="N2" s="359"/>
      <c r="O2" s="359"/>
      <c r="P2" s="359"/>
      <c r="Q2" s="359"/>
      <c r="R2" s="359"/>
      <c r="S2" s="359"/>
      <c r="T2" s="359"/>
      <c r="U2" s="360"/>
    </row>
    <row r="3" spans="1:21" ht="43.5">
      <c r="A3" s="190" t="s">
        <v>59</v>
      </c>
      <c r="B3" s="190" t="s">
        <v>282</v>
      </c>
      <c r="C3" s="190" t="s">
        <v>286</v>
      </c>
      <c r="D3" s="190" t="s">
        <v>280</v>
      </c>
      <c r="E3" s="190" t="s">
        <v>281</v>
      </c>
      <c r="I3" s="27"/>
      <c r="J3" s="27"/>
      <c r="K3" s="27"/>
      <c r="L3" s="27"/>
      <c r="M3" s="27"/>
      <c r="N3" s="27"/>
    </row>
    <row r="4" spans="1:21" ht="16.5">
      <c r="A4" s="13">
        <f ca="1">IF(TODAY()&lt;DATE(2021,6,11),TODAY(),DATE(2021,6,11))</f>
        <v>44344</v>
      </c>
      <c r="B4" s="13">
        <f>DATE(2021,6,11)</f>
        <v>44358</v>
      </c>
      <c r="C4" s="25">
        <v>0.39583333333333298</v>
      </c>
      <c r="D4" s="24" t="s">
        <v>283</v>
      </c>
      <c r="E4" s="24" t="s">
        <v>284</v>
      </c>
      <c r="H4" s="27"/>
      <c r="I4" s="27"/>
      <c r="J4" s="27"/>
      <c r="K4" s="27"/>
      <c r="L4" s="27"/>
      <c r="M4" s="27"/>
      <c r="N4" s="27"/>
    </row>
    <row r="5" spans="1:21" s="28" customFormat="1" ht="16.5">
      <c r="A5" s="192"/>
      <c r="D5" s="29"/>
      <c r="E5" s="29"/>
      <c r="F5" s="29"/>
      <c r="G5" s="29"/>
      <c r="H5" s="29"/>
      <c r="I5" s="29"/>
      <c r="J5" s="29"/>
      <c r="K5" s="29"/>
      <c r="L5" s="29"/>
    </row>
    <row r="6" spans="1:21" ht="16.5">
      <c r="E6" s="27"/>
      <c r="F6" s="27"/>
      <c r="G6" s="27"/>
      <c r="H6" s="27"/>
      <c r="I6" s="27"/>
      <c r="J6" s="27"/>
      <c r="K6" s="27"/>
      <c r="L6" s="27"/>
    </row>
    <row r="7" spans="1:21" s="30" customFormat="1" ht="87">
      <c r="A7" s="193" t="s">
        <v>10</v>
      </c>
      <c r="B7" s="194" t="s">
        <v>197</v>
      </c>
      <c r="C7" s="194" t="s">
        <v>241</v>
      </c>
      <c r="D7" s="193" t="s">
        <v>13</v>
      </c>
      <c r="E7" s="193" t="s">
        <v>14</v>
      </c>
      <c r="F7" s="194" t="s">
        <v>193</v>
      </c>
      <c r="G7" s="194" t="s">
        <v>15</v>
      </c>
      <c r="H7" s="193" t="s">
        <v>16</v>
      </c>
      <c r="I7" s="194" t="s">
        <v>192</v>
      </c>
      <c r="J7" s="194" t="s">
        <v>191</v>
      </c>
      <c r="K7" s="194" t="s">
        <v>190</v>
      </c>
      <c r="L7" s="194" t="s">
        <v>189</v>
      </c>
      <c r="M7" s="194" t="s">
        <v>195</v>
      </c>
      <c r="N7" s="190" t="s">
        <v>242</v>
      </c>
      <c r="O7" s="190" t="s">
        <v>243</v>
      </c>
      <c r="P7" s="190" t="s">
        <v>194</v>
      </c>
      <c r="Q7" s="190" t="s">
        <v>245</v>
      </c>
      <c r="R7" s="190" t="s">
        <v>244</v>
      </c>
      <c r="S7" s="190" t="s">
        <v>247</v>
      </c>
      <c r="T7" s="190" t="s">
        <v>248</v>
      </c>
      <c r="U7" s="193" t="s">
        <v>17</v>
      </c>
    </row>
    <row r="8" spans="1:21" s="31" customFormat="1" ht="16.5">
      <c r="A8" s="21" t="s">
        <v>18</v>
      </c>
      <c r="B8" s="22">
        <v>46</v>
      </c>
      <c r="C8" s="23" t="s">
        <v>25</v>
      </c>
      <c r="D8" s="14" t="s">
        <v>170</v>
      </c>
      <c r="E8" s="15">
        <v>44228</v>
      </c>
      <c r="F8" s="14" t="s">
        <v>177</v>
      </c>
      <c r="G8" s="195">
        <v>220</v>
      </c>
      <c r="H8" s="16">
        <v>1516.66</v>
      </c>
      <c r="I8" s="16">
        <v>450</v>
      </c>
      <c r="J8" s="16">
        <v>64</v>
      </c>
      <c r="K8" s="16">
        <v>21</v>
      </c>
      <c r="L8" s="16">
        <v>21</v>
      </c>
      <c r="M8" s="16">
        <v>450</v>
      </c>
      <c r="N8" s="17">
        <v>0.2</v>
      </c>
      <c r="O8" s="18">
        <v>44</v>
      </c>
      <c r="P8" s="16">
        <v>4.5</v>
      </c>
      <c r="Q8" s="19">
        <v>0.33710000000000001</v>
      </c>
      <c r="R8" s="19">
        <v>0.33710000000000001</v>
      </c>
      <c r="S8" s="19">
        <v>0.05</v>
      </c>
      <c r="T8" s="19">
        <v>0.05</v>
      </c>
      <c r="U8" s="20">
        <v>0.05</v>
      </c>
    </row>
    <row r="9" spans="1:21" ht="16.5">
      <c r="A9" s="21" t="s">
        <v>19</v>
      </c>
      <c r="B9" s="22">
        <v>4</v>
      </c>
      <c r="C9" s="23" t="s">
        <v>25</v>
      </c>
      <c r="D9" s="14" t="s">
        <v>170</v>
      </c>
      <c r="E9" s="15">
        <v>44228</v>
      </c>
      <c r="F9" s="14" t="s">
        <v>177</v>
      </c>
      <c r="G9" s="195">
        <v>220</v>
      </c>
      <c r="H9" s="16">
        <v>1516.66</v>
      </c>
      <c r="I9" s="16">
        <v>450</v>
      </c>
      <c r="J9" s="16">
        <v>64</v>
      </c>
      <c r="K9" s="16">
        <v>21</v>
      </c>
      <c r="L9" s="16">
        <v>21</v>
      </c>
      <c r="M9" s="16">
        <v>450</v>
      </c>
      <c r="N9" s="17">
        <v>0.2</v>
      </c>
      <c r="O9" s="18">
        <v>44</v>
      </c>
      <c r="P9" s="16">
        <v>3.4</v>
      </c>
      <c r="Q9" s="19">
        <v>0.33710000000000001</v>
      </c>
      <c r="R9" s="19">
        <v>0.33710000000000001</v>
      </c>
      <c r="S9" s="19">
        <v>0.05</v>
      </c>
      <c r="T9" s="19">
        <v>0.05</v>
      </c>
      <c r="U9" s="20">
        <v>0.05</v>
      </c>
    </row>
    <row r="10" spans="1:21" ht="16.5">
      <c r="A10" s="21" t="s">
        <v>20</v>
      </c>
      <c r="B10" s="22">
        <v>14</v>
      </c>
      <c r="C10" s="23" t="s">
        <v>25</v>
      </c>
      <c r="D10" s="14" t="s">
        <v>170</v>
      </c>
      <c r="E10" s="15">
        <v>44228</v>
      </c>
      <c r="F10" s="14" t="s">
        <v>177</v>
      </c>
      <c r="G10" s="195">
        <v>220</v>
      </c>
      <c r="H10" s="16">
        <v>1516.66</v>
      </c>
      <c r="I10" s="16">
        <v>450</v>
      </c>
      <c r="J10" s="16">
        <v>64</v>
      </c>
      <c r="K10" s="16">
        <v>21</v>
      </c>
      <c r="L10" s="16">
        <v>21</v>
      </c>
      <c r="M10" s="16">
        <v>450</v>
      </c>
      <c r="N10" s="17">
        <v>0.2</v>
      </c>
      <c r="O10" s="18">
        <v>44</v>
      </c>
      <c r="P10" s="16">
        <v>4.25</v>
      </c>
      <c r="Q10" s="19">
        <v>0.33710000000000001</v>
      </c>
      <c r="R10" s="19">
        <v>0.33710000000000001</v>
      </c>
      <c r="S10" s="19">
        <v>0.05</v>
      </c>
      <c r="T10" s="19">
        <v>0.05</v>
      </c>
      <c r="U10" s="20">
        <v>0.04</v>
      </c>
    </row>
    <row r="11" spans="1:21" ht="16.5">
      <c r="A11" s="21" t="s">
        <v>21</v>
      </c>
      <c r="B11" s="22">
        <v>12</v>
      </c>
      <c r="C11" s="23" t="s">
        <v>25</v>
      </c>
      <c r="D11" s="14" t="s">
        <v>170</v>
      </c>
      <c r="E11" s="15">
        <v>44228</v>
      </c>
      <c r="F11" s="14" t="s">
        <v>177</v>
      </c>
      <c r="G11" s="195">
        <v>220</v>
      </c>
      <c r="H11" s="16">
        <v>1516.66</v>
      </c>
      <c r="I11" s="16">
        <v>450</v>
      </c>
      <c r="J11" s="16">
        <v>64</v>
      </c>
      <c r="K11" s="16">
        <v>21</v>
      </c>
      <c r="L11" s="16">
        <v>21</v>
      </c>
      <c r="M11" s="16">
        <v>450</v>
      </c>
      <c r="N11" s="17">
        <v>0.2</v>
      </c>
      <c r="O11" s="18">
        <v>44</v>
      </c>
      <c r="P11" s="16">
        <v>4.3</v>
      </c>
      <c r="Q11" s="19">
        <v>0.33710000000000001</v>
      </c>
      <c r="R11" s="19">
        <v>0.33710000000000001</v>
      </c>
      <c r="S11" s="19">
        <v>0.05</v>
      </c>
      <c r="T11" s="19">
        <v>0.05</v>
      </c>
      <c r="U11" s="20">
        <v>0.03</v>
      </c>
    </row>
    <row r="12" spans="1:21" ht="16.5">
      <c r="A12" s="21" t="s">
        <v>22</v>
      </c>
      <c r="B12" s="22">
        <v>6</v>
      </c>
      <c r="C12" s="23" t="s">
        <v>25</v>
      </c>
      <c r="D12" s="14" t="s">
        <v>170</v>
      </c>
      <c r="E12" s="15">
        <v>44228</v>
      </c>
      <c r="F12" s="14" t="s">
        <v>177</v>
      </c>
      <c r="G12" s="195">
        <v>220</v>
      </c>
      <c r="H12" s="16">
        <v>1516.66</v>
      </c>
      <c r="I12" s="16">
        <v>450</v>
      </c>
      <c r="J12" s="16">
        <v>64</v>
      </c>
      <c r="K12" s="16">
        <v>21</v>
      </c>
      <c r="L12" s="16">
        <v>21</v>
      </c>
      <c r="M12" s="16">
        <v>450</v>
      </c>
      <c r="N12" s="17">
        <v>0.2</v>
      </c>
      <c r="O12" s="18">
        <v>44</v>
      </c>
      <c r="P12" s="16">
        <v>3.7</v>
      </c>
      <c r="Q12" s="19">
        <v>0.33710000000000001</v>
      </c>
      <c r="R12" s="19">
        <v>0.33710000000000001</v>
      </c>
      <c r="S12" s="19">
        <v>0.05</v>
      </c>
      <c r="T12" s="19">
        <v>0.05</v>
      </c>
      <c r="U12" s="20">
        <v>0.04</v>
      </c>
    </row>
    <row r="13" spans="1:21" ht="16.5">
      <c r="A13" s="21" t="s">
        <v>23</v>
      </c>
      <c r="B13" s="22">
        <v>4</v>
      </c>
      <c r="C13" s="23" t="s">
        <v>25</v>
      </c>
      <c r="D13" s="14" t="s">
        <v>170</v>
      </c>
      <c r="E13" s="15">
        <v>44228</v>
      </c>
      <c r="F13" s="14" t="s">
        <v>177</v>
      </c>
      <c r="G13" s="195">
        <v>220</v>
      </c>
      <c r="H13" s="16">
        <v>1516.66</v>
      </c>
      <c r="I13" s="16">
        <v>450</v>
      </c>
      <c r="J13" s="16">
        <v>64</v>
      </c>
      <c r="K13" s="16">
        <v>21</v>
      </c>
      <c r="L13" s="16">
        <v>21</v>
      </c>
      <c r="M13" s="16">
        <v>450</v>
      </c>
      <c r="N13" s="17">
        <v>0.2</v>
      </c>
      <c r="O13" s="18">
        <v>44</v>
      </c>
      <c r="P13" s="16">
        <v>4.3</v>
      </c>
      <c r="Q13" s="19">
        <v>0.33710000000000001</v>
      </c>
      <c r="R13" s="19">
        <v>0.33710000000000001</v>
      </c>
      <c r="S13" s="19">
        <v>0.05</v>
      </c>
      <c r="T13" s="19">
        <v>0.05</v>
      </c>
      <c r="U13" s="20">
        <v>0.05</v>
      </c>
    </row>
    <row r="14" spans="1:21" ht="16.5">
      <c r="A14" s="21" t="s">
        <v>18</v>
      </c>
      <c r="B14" s="22">
        <v>2</v>
      </c>
      <c r="C14" s="23" t="s">
        <v>27</v>
      </c>
      <c r="D14" s="14" t="s">
        <v>170</v>
      </c>
      <c r="E14" s="15">
        <v>44228</v>
      </c>
      <c r="F14" s="14" t="s">
        <v>177</v>
      </c>
      <c r="G14" s="195">
        <v>180</v>
      </c>
      <c r="H14" s="16">
        <v>1415.56</v>
      </c>
      <c r="I14" s="16">
        <v>450</v>
      </c>
      <c r="J14" s="16">
        <v>64</v>
      </c>
      <c r="K14" s="16">
        <v>21</v>
      </c>
      <c r="L14" s="16">
        <v>21</v>
      </c>
      <c r="M14" s="16">
        <v>450</v>
      </c>
      <c r="N14" s="17">
        <v>0.2</v>
      </c>
      <c r="O14" s="18">
        <v>44</v>
      </c>
      <c r="P14" s="16">
        <v>4.5</v>
      </c>
      <c r="Q14" s="19">
        <v>0.33710000000000001</v>
      </c>
      <c r="R14" s="19">
        <v>0.33710000000000001</v>
      </c>
      <c r="S14" s="19">
        <v>0.05</v>
      </c>
      <c r="T14" s="19">
        <v>0.05</v>
      </c>
      <c r="U14" s="20">
        <v>0.05</v>
      </c>
    </row>
    <row r="15" spans="1:21" ht="16.5">
      <c r="A15" s="196"/>
      <c r="B15" s="197"/>
      <c r="C15" s="198"/>
      <c r="D15" s="198"/>
      <c r="E15" s="198"/>
      <c r="F15" s="199"/>
      <c r="G15" s="198"/>
      <c r="H15" s="29"/>
      <c r="I15" s="200"/>
      <c r="J15" s="200"/>
      <c r="K15" s="200"/>
      <c r="L15" s="200"/>
      <c r="M15" s="200"/>
      <c r="N15" s="200"/>
      <c r="O15" s="201"/>
      <c r="P15" s="29"/>
      <c r="Q15" s="202"/>
      <c r="R15" s="201"/>
      <c r="S15" s="201"/>
      <c r="T15" s="32"/>
      <c r="U15" s="32"/>
    </row>
    <row r="16" spans="1:21" ht="68">
      <c r="A16" s="203" t="s">
        <v>11</v>
      </c>
      <c r="B16" s="203" t="s">
        <v>12</v>
      </c>
      <c r="C16" s="204" t="s">
        <v>236</v>
      </c>
      <c r="D16" s="204" t="s">
        <v>196</v>
      </c>
      <c r="E16" s="204" t="s">
        <v>238</v>
      </c>
      <c r="F16" s="204" t="s">
        <v>237</v>
      </c>
      <c r="G16" s="198"/>
      <c r="H16" s="29"/>
      <c r="I16" s="200"/>
      <c r="J16" s="200"/>
      <c r="K16" s="200"/>
      <c r="L16" s="200"/>
      <c r="M16" s="200"/>
      <c r="N16" s="200"/>
      <c r="O16" s="201"/>
      <c r="P16" s="29"/>
      <c r="Q16" s="202"/>
      <c r="R16" s="201"/>
      <c r="S16" s="201"/>
      <c r="T16" s="32"/>
      <c r="U16" s="32"/>
    </row>
    <row r="17" spans="1:21" ht="16.5">
      <c r="A17" s="23" t="s">
        <v>24</v>
      </c>
      <c r="B17" s="23" t="s">
        <v>25</v>
      </c>
      <c r="C17" s="195">
        <v>200</v>
      </c>
      <c r="D17" s="195">
        <v>1</v>
      </c>
      <c r="E17" s="366">
        <v>12</v>
      </c>
      <c r="F17" s="366">
        <v>22</v>
      </c>
      <c r="G17" s="198"/>
      <c r="H17" s="29"/>
      <c r="I17" s="200"/>
      <c r="J17" s="200"/>
      <c r="K17" s="200"/>
      <c r="L17" s="200"/>
      <c r="M17" s="200"/>
      <c r="N17" s="200"/>
      <c r="O17" s="201"/>
      <c r="P17" s="29"/>
      <c r="Q17" s="202"/>
      <c r="R17" s="201"/>
      <c r="S17" s="201"/>
      <c r="T17" s="32"/>
      <c r="U17" s="32"/>
    </row>
    <row r="18" spans="1:21" ht="16.5">
      <c r="A18" s="23" t="s">
        <v>26</v>
      </c>
      <c r="B18" s="23" t="s">
        <v>27</v>
      </c>
      <c r="C18" s="195">
        <v>150</v>
      </c>
      <c r="D18" s="195">
        <v>1</v>
      </c>
      <c r="E18" s="366"/>
      <c r="F18" s="366"/>
      <c r="G18" s="198"/>
      <c r="H18" s="29"/>
      <c r="I18" s="200"/>
      <c r="J18" s="200"/>
      <c r="K18" s="200"/>
      <c r="L18" s="200"/>
      <c r="M18" s="200"/>
      <c r="N18" s="200"/>
      <c r="O18" s="201"/>
      <c r="P18" s="29"/>
      <c r="Q18" s="202"/>
      <c r="R18" s="201"/>
      <c r="S18" s="201"/>
      <c r="T18" s="32"/>
      <c r="U18" s="32"/>
    </row>
    <row r="19" spans="1:21" ht="16.5">
      <c r="A19" s="196"/>
      <c r="B19" s="197"/>
      <c r="C19" s="198"/>
      <c r="D19" s="198"/>
      <c r="E19" s="198"/>
      <c r="F19" s="199"/>
      <c r="G19" s="198"/>
      <c r="H19" s="29"/>
      <c r="I19" s="200"/>
      <c r="J19" s="200"/>
      <c r="K19" s="200"/>
      <c r="L19" s="200"/>
      <c r="M19" s="200"/>
      <c r="N19" s="200"/>
      <c r="O19" s="201"/>
      <c r="P19" s="29"/>
      <c r="Q19" s="202"/>
      <c r="R19" s="201"/>
      <c r="S19" s="201"/>
      <c r="T19" s="32"/>
      <c r="U19" s="32"/>
    </row>
    <row r="20" spans="1:21" ht="17">
      <c r="A20" s="369" t="s">
        <v>175</v>
      </c>
      <c r="B20" s="370"/>
      <c r="C20" s="371"/>
      <c r="D20" s="205"/>
    </row>
    <row r="21" spans="1:21" ht="34">
      <c r="A21" s="206" t="s">
        <v>2</v>
      </c>
      <c r="B21" s="207" t="s">
        <v>176</v>
      </c>
      <c r="C21" s="207" t="s">
        <v>240</v>
      </c>
    </row>
    <row r="22" spans="1:21" ht="17.5">
      <c r="A22" s="208" t="s">
        <v>251</v>
      </c>
      <c r="B22" s="208">
        <v>90</v>
      </c>
      <c r="C22" s="209">
        <f>B22/('RECEPÇÃO 1º ANO'!H11+'RECEPÇÃO 1º ANO'!J11+'RECEPÇÃO 1º ANO'!L11+'RECEPÇÃO 1º ANO'!N11+'RECEPÇÃO 1º ANO'!P11+'RECEPÇÃO 1º ANO'!R11)</f>
        <v>1.05</v>
      </c>
    </row>
    <row r="23" spans="1:21" ht="16.5">
      <c r="A23" s="196"/>
      <c r="B23" s="197"/>
      <c r="C23" s="198"/>
      <c r="D23" s="198"/>
      <c r="E23" s="198"/>
      <c r="F23" s="199"/>
      <c r="G23" s="198"/>
      <c r="H23" s="29"/>
      <c r="I23" s="200"/>
      <c r="J23" s="200"/>
      <c r="K23" s="200"/>
      <c r="L23" s="200"/>
      <c r="M23" s="200"/>
      <c r="N23" s="200"/>
      <c r="O23" s="201"/>
      <c r="P23" s="29"/>
      <c r="Q23" s="202"/>
      <c r="R23" s="201"/>
      <c r="S23" s="201"/>
      <c r="T23" s="32"/>
      <c r="U23" s="32"/>
    </row>
    <row r="24" spans="1:21" ht="22">
      <c r="A24" s="356"/>
      <c r="B24" s="353" t="s">
        <v>278</v>
      </c>
      <c r="C24" s="353"/>
      <c r="D24" s="205"/>
    </row>
    <row r="25" spans="1:21" ht="14.25" customHeight="1">
      <c r="A25" s="357"/>
      <c r="B25" s="367" t="s">
        <v>28</v>
      </c>
      <c r="C25" s="368"/>
      <c r="D25" s="210"/>
      <c r="G25" s="210"/>
    </row>
    <row r="26" spans="1:21" ht="17">
      <c r="A26" s="203" t="s">
        <v>250</v>
      </c>
      <c r="B26" s="413" t="s">
        <v>28</v>
      </c>
      <c r="C26" s="413" t="s">
        <v>29</v>
      </c>
    </row>
    <row r="27" spans="1:21" ht="16.5">
      <c r="A27" s="211" t="s">
        <v>30</v>
      </c>
      <c r="B27" s="212">
        <v>6.4999999999999997E-3</v>
      </c>
      <c r="C27" s="8">
        <v>1.6500000000000001E-2</v>
      </c>
    </row>
    <row r="28" spans="1:21" ht="16.5">
      <c r="A28" s="211" t="s">
        <v>31</v>
      </c>
      <c r="B28" s="212">
        <v>0.03</v>
      </c>
      <c r="C28" s="8">
        <v>7.5999999999999998E-2</v>
      </c>
    </row>
    <row r="29" spans="1:21" ht="16.5">
      <c r="A29" s="211" t="s">
        <v>32</v>
      </c>
      <c r="B29" s="212">
        <v>0.2</v>
      </c>
      <c r="C29" s="212">
        <v>0.2</v>
      </c>
    </row>
    <row r="30" spans="1:21" ht="16.5">
      <c r="A30" s="211" t="s">
        <v>33</v>
      </c>
      <c r="B30" s="212">
        <v>2.5000000000000001E-2</v>
      </c>
      <c r="C30" s="212">
        <v>2.5000000000000001E-2</v>
      </c>
    </row>
    <row r="31" spans="1:21" ht="16.5">
      <c r="A31" s="211" t="s">
        <v>34</v>
      </c>
      <c r="B31" s="8">
        <v>0.03</v>
      </c>
      <c r="C31" s="8">
        <v>0.03</v>
      </c>
      <c r="I31" s="214"/>
      <c r="J31" s="214"/>
      <c r="K31" s="214"/>
    </row>
    <row r="32" spans="1:21" ht="16.5">
      <c r="A32" s="211" t="s">
        <v>35</v>
      </c>
      <c r="B32" s="212">
        <v>1.4999999999999999E-2</v>
      </c>
      <c r="C32" s="212">
        <v>1.4999999999999999E-2</v>
      </c>
    </row>
    <row r="33" spans="1:11" ht="16.5">
      <c r="A33" s="211" t="s">
        <v>36</v>
      </c>
      <c r="B33" s="212">
        <v>0.01</v>
      </c>
      <c r="C33" s="212">
        <v>0.01</v>
      </c>
      <c r="I33" s="215"/>
      <c r="J33" s="215"/>
      <c r="K33" s="216"/>
    </row>
    <row r="34" spans="1:11" ht="16.5">
      <c r="A34" s="211" t="s">
        <v>37</v>
      </c>
      <c r="B34" s="212">
        <v>6.0000000000000001E-3</v>
      </c>
      <c r="C34" s="212">
        <v>6.0000000000000001E-3</v>
      </c>
      <c r="I34" s="215"/>
      <c r="J34" s="215"/>
      <c r="K34" s="217"/>
    </row>
    <row r="35" spans="1:11" ht="16.5">
      <c r="A35" s="211" t="s">
        <v>38</v>
      </c>
      <c r="B35" s="212">
        <v>2E-3</v>
      </c>
      <c r="C35" s="212">
        <v>2E-3</v>
      </c>
    </row>
    <row r="36" spans="1:11" ht="16.5">
      <c r="A36" s="211" t="s">
        <v>39</v>
      </c>
      <c r="B36" s="212">
        <v>0.08</v>
      </c>
      <c r="C36" s="212">
        <v>0.08</v>
      </c>
    </row>
    <row r="38" spans="1:11" ht="18">
      <c r="A38" s="353" t="s">
        <v>279</v>
      </c>
      <c r="B38" s="353"/>
      <c r="C38" s="353"/>
      <c r="D38" s="353"/>
    </row>
    <row r="39" spans="1:11" ht="34">
      <c r="A39" s="206" t="s">
        <v>2</v>
      </c>
      <c r="B39" s="207" t="s">
        <v>179</v>
      </c>
      <c r="C39" s="206" t="s">
        <v>41</v>
      </c>
      <c r="D39" s="206" t="s">
        <v>42</v>
      </c>
    </row>
    <row r="40" spans="1:11" ht="17.5">
      <c r="A40" s="208" t="s">
        <v>43</v>
      </c>
      <c r="B40" s="208">
        <f>5*(SUM($B$8:$B$14))</f>
        <v>440</v>
      </c>
      <c r="C40" s="9">
        <v>36.97</v>
      </c>
      <c r="D40" s="219">
        <f>C40*B40</f>
        <v>16266.8</v>
      </c>
    </row>
    <row r="41" spans="1:11" ht="17.5">
      <c r="A41" s="208" t="s">
        <v>168</v>
      </c>
      <c r="B41" s="208">
        <f>2*(SUM($B$8:$B$14))</f>
        <v>176</v>
      </c>
      <c r="C41" s="9">
        <v>82.25</v>
      </c>
      <c r="D41" s="219">
        <f t="shared" ref="D41:D43" si="0">C41*B41</f>
        <v>14476</v>
      </c>
    </row>
    <row r="42" spans="1:11" ht="17.5">
      <c r="A42" s="208" t="s">
        <v>169</v>
      </c>
      <c r="B42" s="208">
        <f>2*(SUM($B$8:$B$14))</f>
        <v>176</v>
      </c>
      <c r="C42" s="9">
        <v>123.38</v>
      </c>
      <c r="D42" s="219">
        <f t="shared" si="0"/>
        <v>21714.880000000001</v>
      </c>
    </row>
    <row r="43" spans="1:11" ht="17.5">
      <c r="A43" s="208" t="s">
        <v>180</v>
      </c>
      <c r="B43" s="208">
        <f>3*(SUM($B$8:$B$14))</f>
        <v>264</v>
      </c>
      <c r="C43" s="9">
        <v>55.39</v>
      </c>
      <c r="D43" s="219">
        <f t="shared" si="0"/>
        <v>14622.96</v>
      </c>
    </row>
    <row r="44" spans="1:11" ht="17.5">
      <c r="A44" s="354" t="s">
        <v>181</v>
      </c>
      <c r="B44" s="354"/>
      <c r="C44" s="354"/>
      <c r="D44" s="219">
        <f>SUM(D40:D43)</f>
        <v>67080.639999999999</v>
      </c>
    </row>
    <row r="45" spans="1:11" ht="17.5">
      <c r="A45" s="354" t="s">
        <v>182</v>
      </c>
      <c r="B45" s="354"/>
      <c r="C45" s="354"/>
      <c r="D45" s="220">
        <f>D44/SUM(B8:B14)</f>
        <v>762.28</v>
      </c>
    </row>
    <row r="46" spans="1:11" ht="17.5">
      <c r="A46" s="354" t="s">
        <v>246</v>
      </c>
      <c r="B46" s="354"/>
      <c r="C46" s="354"/>
      <c r="D46" s="220">
        <f>D45/12</f>
        <v>63.52</v>
      </c>
    </row>
    <row r="48" spans="1:11" ht="16.5">
      <c r="A48" s="355" t="s">
        <v>254</v>
      </c>
      <c r="B48" s="355"/>
      <c r="C48" s="355"/>
      <c r="D48" s="355"/>
    </row>
    <row r="49" spans="1:8" ht="34">
      <c r="A49" s="206" t="s">
        <v>2</v>
      </c>
      <c r="B49" s="207" t="s">
        <v>45</v>
      </c>
      <c r="C49" s="206" t="s">
        <v>41</v>
      </c>
      <c r="D49" s="206" t="s">
        <v>46</v>
      </c>
    </row>
    <row r="50" spans="1:8" ht="16.5">
      <c r="A50" s="10"/>
      <c r="B50" s="10"/>
      <c r="C50" s="9"/>
      <c r="D50" s="9">
        <f>C50*B50</f>
        <v>0</v>
      </c>
    </row>
    <row r="51" spans="1:8" ht="16.5">
      <c r="A51" s="27"/>
      <c r="B51" s="27"/>
      <c r="C51" s="221"/>
      <c r="D51" s="221"/>
    </row>
    <row r="52" spans="1:8" ht="17">
      <c r="A52" s="353" t="s">
        <v>253</v>
      </c>
      <c r="B52" s="353"/>
      <c r="C52" s="353"/>
      <c r="D52" s="353"/>
      <c r="E52" s="353"/>
      <c r="F52" s="353"/>
      <c r="G52" s="353"/>
    </row>
    <row r="53" spans="1:8" s="33" customFormat="1" ht="47.5" customHeight="1">
      <c r="A53" s="207" t="s">
        <v>2</v>
      </c>
      <c r="B53" s="207" t="s">
        <v>48</v>
      </c>
      <c r="C53" s="207" t="s">
        <v>49</v>
      </c>
      <c r="D53" s="207" t="s">
        <v>41</v>
      </c>
      <c r="E53" s="207" t="s">
        <v>46</v>
      </c>
      <c r="F53" s="207" t="s">
        <v>50</v>
      </c>
      <c r="G53" s="207" t="s">
        <v>51</v>
      </c>
    </row>
    <row r="54" spans="1:8" ht="16.5">
      <c r="A54" s="208" t="s">
        <v>52</v>
      </c>
      <c r="B54" s="208">
        <v>1</v>
      </c>
      <c r="C54" s="208">
        <v>7</v>
      </c>
      <c r="D54" s="9">
        <v>1657.95</v>
      </c>
      <c r="E54" s="222">
        <f>D54*C54*B54</f>
        <v>11605.65</v>
      </c>
      <c r="F54" s="222">
        <f>E54*10%</f>
        <v>1160.57</v>
      </c>
      <c r="G54" s="222">
        <f>F54/12</f>
        <v>96.71</v>
      </c>
    </row>
    <row r="58" spans="1:8" ht="16.5">
      <c r="A58" s="364" t="s">
        <v>259</v>
      </c>
      <c r="B58" s="364"/>
      <c r="C58" s="364"/>
      <c r="D58" s="364"/>
      <c r="E58" s="364"/>
      <c r="F58" s="364"/>
      <c r="G58" s="365"/>
      <c r="H58" s="223" t="s">
        <v>239</v>
      </c>
    </row>
    <row r="59" spans="1:8" ht="16.5">
      <c r="A59" s="69" t="s">
        <v>58</v>
      </c>
      <c r="B59" s="301" t="s">
        <v>135</v>
      </c>
      <c r="C59" s="301"/>
      <c r="D59" s="301"/>
      <c r="E59" s="301"/>
      <c r="F59" s="301"/>
      <c r="G59" s="301"/>
      <c r="H59" s="139">
        <f>SUM(H60:H67)</f>
        <v>4.8734000000000002</v>
      </c>
    </row>
    <row r="60" spans="1:8" ht="16.5">
      <c r="A60" s="140" t="s">
        <v>219</v>
      </c>
      <c r="B60" s="300" t="s">
        <v>211</v>
      </c>
      <c r="C60" s="300"/>
      <c r="D60" s="300"/>
      <c r="E60" s="300"/>
      <c r="F60" s="300"/>
      <c r="G60" s="300"/>
      <c r="H60" s="11">
        <f>1*1*1</f>
        <v>1</v>
      </c>
    </row>
    <row r="61" spans="1:8" ht="16.5">
      <c r="A61" s="140" t="s">
        <v>221</v>
      </c>
      <c r="B61" s="300" t="s">
        <v>212</v>
      </c>
      <c r="C61" s="300"/>
      <c r="D61" s="300"/>
      <c r="E61" s="300"/>
      <c r="F61" s="300"/>
      <c r="G61" s="300"/>
      <c r="H61" s="11">
        <f>1*5*0.6986</f>
        <v>3.4929999999999999</v>
      </c>
    </row>
    <row r="62" spans="1:8" ht="16.5">
      <c r="A62" s="140" t="s">
        <v>222</v>
      </c>
      <c r="B62" s="300" t="s">
        <v>213</v>
      </c>
      <c r="C62" s="300"/>
      <c r="D62" s="300"/>
      <c r="E62" s="300"/>
      <c r="F62" s="300"/>
      <c r="G62" s="300"/>
      <c r="H62" s="11">
        <f>0.1344*2*1</f>
        <v>0.26879999999999998</v>
      </c>
    </row>
    <row r="63" spans="1:8" ht="16.5">
      <c r="A63" s="140" t="s">
        <v>228</v>
      </c>
      <c r="B63" s="300" t="s">
        <v>214</v>
      </c>
      <c r="C63" s="300"/>
      <c r="D63" s="300"/>
      <c r="E63" s="300"/>
      <c r="F63" s="300"/>
      <c r="G63" s="300"/>
      <c r="H63" s="11">
        <f>0.0305*2*0.6986</f>
        <v>4.2599999999999999E-2</v>
      </c>
    </row>
    <row r="64" spans="1:8" ht="16.5">
      <c r="A64" s="140" t="s">
        <v>229</v>
      </c>
      <c r="B64" s="300" t="s">
        <v>215</v>
      </c>
      <c r="C64" s="300"/>
      <c r="D64" s="300"/>
      <c r="E64" s="300"/>
      <c r="F64" s="300"/>
      <c r="G64" s="300"/>
      <c r="H64" s="11">
        <f>0.0118*3*1</f>
        <v>3.5400000000000001E-2</v>
      </c>
    </row>
    <row r="65" spans="1:8" ht="16.5">
      <c r="A65" s="140" t="s">
        <v>230</v>
      </c>
      <c r="B65" s="300" t="s">
        <v>216</v>
      </c>
      <c r="C65" s="300"/>
      <c r="D65" s="300"/>
      <c r="E65" s="300"/>
      <c r="F65" s="300"/>
      <c r="G65" s="300"/>
      <c r="H65" s="11">
        <f>0.02*1*1</f>
        <v>0.02</v>
      </c>
    </row>
    <row r="66" spans="1:8" ht="16.5">
      <c r="A66" s="140" t="s">
        <v>231</v>
      </c>
      <c r="B66" s="300" t="s">
        <v>217</v>
      </c>
      <c r="C66" s="300"/>
      <c r="D66" s="300"/>
      <c r="E66" s="300"/>
      <c r="F66" s="300"/>
      <c r="G66" s="300"/>
      <c r="H66" s="11">
        <f>0.004*1*1</f>
        <v>4.0000000000000001E-3</v>
      </c>
    </row>
    <row r="67" spans="1:8" ht="16.5">
      <c r="A67" s="140" t="s">
        <v>232</v>
      </c>
      <c r="B67" s="300" t="s">
        <v>218</v>
      </c>
      <c r="C67" s="300"/>
      <c r="D67" s="300"/>
      <c r="E67" s="300"/>
      <c r="F67" s="300"/>
      <c r="G67" s="300"/>
      <c r="H67" s="11">
        <f>0.0016*6*1</f>
        <v>9.5999999999999992E-3</v>
      </c>
    </row>
    <row r="68" spans="1:8" ht="16.5">
      <c r="A68" s="69" t="s">
        <v>60</v>
      </c>
      <c r="B68" s="301" t="s">
        <v>136</v>
      </c>
      <c r="C68" s="301"/>
      <c r="D68" s="301"/>
      <c r="E68" s="301"/>
      <c r="F68" s="301"/>
      <c r="G68" s="301"/>
      <c r="H68" s="11">
        <f>(0.0143*20)*0.6986</f>
        <v>0.19980000000000001</v>
      </c>
    </row>
    <row r="69" spans="1:8" ht="16.5">
      <c r="A69" s="69" t="s">
        <v>62</v>
      </c>
      <c r="B69" s="301" t="s">
        <v>137</v>
      </c>
      <c r="C69" s="301"/>
      <c r="D69" s="301"/>
      <c r="E69" s="301"/>
      <c r="F69" s="301"/>
      <c r="G69" s="301"/>
      <c r="H69" s="11">
        <f>(0.0922*15)*0.6986</f>
        <v>0.96619999999999995</v>
      </c>
    </row>
    <row r="70" spans="1:8" ht="16.5">
      <c r="A70" s="69" t="s">
        <v>64</v>
      </c>
      <c r="B70" s="301" t="s">
        <v>138</v>
      </c>
      <c r="C70" s="301"/>
      <c r="D70" s="301"/>
      <c r="E70" s="301"/>
      <c r="F70" s="301"/>
      <c r="G70" s="301"/>
      <c r="H70" s="11">
        <f>(0.0197*180)*0.6986</f>
        <v>2.4771999999999998</v>
      </c>
    </row>
    <row r="71" spans="1:8" ht="16.5">
      <c r="A71" s="41" t="s">
        <v>66</v>
      </c>
      <c r="B71" s="301" t="s">
        <v>139</v>
      </c>
      <c r="C71" s="301"/>
      <c r="D71" s="301"/>
      <c r="E71" s="301"/>
      <c r="F71" s="301"/>
      <c r="G71" s="301"/>
      <c r="H71" s="12"/>
    </row>
  </sheetData>
  <sheetProtection algorithmName="SHA-512" hashValue="ldPxHy0EBqUoU/UbRsWfcgBO6Am/0hqfDnAKI6VvrlTByHY/C/7CorCu7I9KuAD8kOYVkXcEHHHrc8sZa3Tl4g==" saltValue="L9KqAF+8f8m8VtHPmf254A==" spinCount="100000" sheet="1"/>
  <protectedRanges>
    <protectedRange algorithmName="SHA-512" hashValue="PeIxAwh+AgwyelZG4iOrWEJ00oMahrvdxMD9AaDLBVJnJRZE3zTyVNrkqVkCDtvONMzv6ttmzNQe7kw2W0BSFQ==" saltValue="CPAwmNTGz6fnDYWMaJz2AA==" spinCount="100000" sqref="D8:F14 H8:O14 Q8:U14 B25 C27:C28 B31:C31 C40:C43 A50:D50 D54 H60:H71" name="Intervalo1"/>
  </protectedRanges>
  <mergeCells count="28">
    <mergeCell ref="B71:G71"/>
    <mergeCell ref="B64:G64"/>
    <mergeCell ref="B65:G65"/>
    <mergeCell ref="B66:G66"/>
    <mergeCell ref="B67:G67"/>
    <mergeCell ref="B68:G68"/>
    <mergeCell ref="B69:G69"/>
    <mergeCell ref="A24:A25"/>
    <mergeCell ref="B24:C24"/>
    <mergeCell ref="A2:U2"/>
    <mergeCell ref="A1:U1"/>
    <mergeCell ref="B70:G70"/>
    <mergeCell ref="A58:G58"/>
    <mergeCell ref="F17:F18"/>
    <mergeCell ref="E17:E18"/>
    <mergeCell ref="B25:C25"/>
    <mergeCell ref="B59:G59"/>
    <mergeCell ref="B60:G60"/>
    <mergeCell ref="B61:G61"/>
    <mergeCell ref="B62:G62"/>
    <mergeCell ref="B63:G63"/>
    <mergeCell ref="A20:C20"/>
    <mergeCell ref="A52:G52"/>
    <mergeCell ref="A38:D38"/>
    <mergeCell ref="A45:C45"/>
    <mergeCell ref="A48:D48"/>
    <mergeCell ref="A44:C44"/>
    <mergeCell ref="A46:C46"/>
  </mergeCells>
  <phoneticPr fontId="37" type="noConversion"/>
  <dataValidations count="1">
    <dataValidation type="list" allowBlank="1" showInputMessage="1" showErrorMessage="1" sqref="B25" xr:uid="{00000000-0002-0000-0100-000000000000}">
      <formula1>$B$26:$C$26</formula1>
    </dataValidation>
  </dataValidations>
  <pageMargins left="0.511811024" right="0.511811024" top="0.78740157500000008" bottom="0.78740157500000008" header="0.31496062000000008" footer="0.31496062000000008"/>
  <pageSetup paperSize="9" scale="32" fitToWidth="0" fitToHeight="0" orientation="portrait" r:id="rId1"/>
  <colBreaks count="1" manualBreakCount="1">
    <brk id="14"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273"/>
  <sheetViews>
    <sheetView zoomScale="90" zoomScaleNormal="90" workbookViewId="0">
      <selection activeCell="H34" sqref="H34"/>
    </sheetView>
  </sheetViews>
  <sheetFormatPr defaultColWidth="11.7265625" defaultRowHeight="16.5"/>
  <cols>
    <col min="1" max="1" width="13.1796875" style="1" customWidth="1"/>
    <col min="2" max="2" width="13.1796875" style="1" bestFit="1" customWidth="1"/>
    <col min="3" max="3" width="13.453125" style="1" customWidth="1"/>
    <col min="4" max="4" width="14" style="1" customWidth="1"/>
    <col min="5" max="5" width="11.81640625" style="1" bestFit="1" customWidth="1"/>
    <col min="6" max="6" width="13.81640625" style="1" customWidth="1"/>
    <col min="7" max="7" width="9.1796875" style="1" bestFit="1" customWidth="1"/>
    <col min="8" max="8" width="15.81640625" style="1" bestFit="1" customWidth="1"/>
    <col min="9" max="9" width="13.54296875" style="5" bestFit="1" customWidth="1"/>
    <col min="10" max="10" width="15.81640625" style="1" bestFit="1" customWidth="1"/>
    <col min="11" max="11" width="13.54296875" style="1" bestFit="1" customWidth="1"/>
    <col min="12" max="12" width="15.81640625" style="1" bestFit="1" customWidth="1"/>
    <col min="13" max="13" width="13.54296875" style="1" bestFit="1" customWidth="1"/>
    <col min="14" max="14" width="15.81640625" style="1" bestFit="1" customWidth="1"/>
    <col min="15" max="15" width="13.54296875" style="1" bestFit="1" customWidth="1"/>
    <col min="16" max="16" width="15.81640625" style="1" bestFit="1" customWidth="1"/>
    <col min="17" max="17" width="13.54296875" style="1" bestFit="1" customWidth="1"/>
    <col min="18" max="18" width="15.81640625" style="1" bestFit="1" customWidth="1"/>
    <col min="19" max="19" width="13.54296875" style="1" bestFit="1" customWidth="1"/>
    <col min="20" max="20" width="11.7265625" style="1" customWidth="1"/>
    <col min="21" max="16384" width="11.7265625" style="1"/>
  </cols>
  <sheetData>
    <row r="1" spans="1:19" ht="48" customHeight="1">
      <c r="A1" s="385" t="s">
        <v>53</v>
      </c>
      <c r="B1" s="385"/>
      <c r="C1" s="385"/>
      <c r="D1" s="385"/>
      <c r="E1" s="385"/>
      <c r="F1" s="385"/>
      <c r="G1" s="385"/>
      <c r="H1" s="385"/>
      <c r="I1" s="385"/>
      <c r="J1" s="385"/>
      <c r="K1" s="385"/>
      <c r="L1" s="385"/>
      <c r="M1" s="385"/>
      <c r="N1" s="385"/>
      <c r="O1" s="385"/>
      <c r="P1" s="385"/>
      <c r="Q1" s="385"/>
      <c r="R1" s="385"/>
      <c r="S1" s="385"/>
    </row>
    <row r="2" spans="1:19">
      <c r="A2" s="372" t="s">
        <v>287</v>
      </c>
      <c r="B2" s="388"/>
      <c r="C2" s="391" t="str">
        <f>'DADOS BÁSICOS LICITAÇÃO'!D4</f>
        <v>08385.000738/2021-44</v>
      </c>
      <c r="D2" s="388"/>
      <c r="E2" s="372"/>
      <c r="F2" s="373"/>
      <c r="G2" s="373"/>
      <c r="H2" s="373"/>
      <c r="I2" s="373"/>
      <c r="J2" s="373"/>
      <c r="K2" s="373"/>
      <c r="L2" s="373"/>
      <c r="M2" s="373"/>
      <c r="N2" s="373"/>
      <c r="O2" s="373"/>
      <c r="P2" s="373"/>
      <c r="Q2" s="373"/>
      <c r="R2" s="373"/>
      <c r="S2" s="373"/>
    </row>
    <row r="3" spans="1:19" ht="12.75" customHeight="1">
      <c r="A3" s="372" t="s">
        <v>285</v>
      </c>
      <c r="B3" s="388"/>
      <c r="C3" s="372" t="str">
        <f>'DADOS BÁSICOS LICITAÇÃO'!E4</f>
        <v>01/2021</v>
      </c>
      <c r="D3" s="388"/>
      <c r="E3" s="372"/>
      <c r="F3" s="373"/>
      <c r="G3" s="373"/>
      <c r="H3" s="373"/>
      <c r="I3" s="373"/>
      <c r="J3" s="373"/>
      <c r="K3" s="373"/>
      <c r="L3" s="373"/>
      <c r="M3" s="373"/>
      <c r="N3" s="373"/>
      <c r="O3" s="373"/>
      <c r="P3" s="373"/>
      <c r="Q3" s="373"/>
      <c r="R3" s="373"/>
      <c r="S3" s="373"/>
    </row>
    <row r="4" spans="1:19" ht="12.75" customHeight="1">
      <c r="A4" s="374" t="s">
        <v>288</v>
      </c>
      <c r="B4" s="389"/>
      <c r="C4" s="392">
        <f>'DADOS BÁSICOS LICITAÇÃO'!B4</f>
        <v>44358</v>
      </c>
      <c r="D4" s="389"/>
      <c r="E4" s="374"/>
      <c r="F4" s="375"/>
      <c r="G4" s="375"/>
      <c r="H4" s="375"/>
      <c r="I4" s="375"/>
      <c r="J4" s="375"/>
      <c r="K4" s="375"/>
      <c r="L4" s="375"/>
      <c r="M4" s="375"/>
      <c r="N4" s="375"/>
      <c r="O4" s="375"/>
      <c r="P4" s="375"/>
      <c r="Q4" s="375"/>
      <c r="R4" s="375"/>
      <c r="S4" s="375"/>
    </row>
    <row r="5" spans="1:19" ht="12.75" customHeight="1">
      <c r="A5" s="390" t="s">
        <v>289</v>
      </c>
      <c r="B5" s="390"/>
      <c r="C5" s="393">
        <f>'DADOS BÁSICOS LICITAÇÃO'!C4</f>
        <v>0.39583333333333298</v>
      </c>
      <c r="D5" s="390"/>
      <c r="E5" s="376"/>
      <c r="F5" s="376"/>
      <c r="G5" s="376"/>
      <c r="H5" s="376"/>
      <c r="I5" s="376"/>
      <c r="J5" s="376"/>
      <c r="K5" s="376"/>
      <c r="L5" s="376"/>
      <c r="M5" s="376"/>
      <c r="N5" s="376"/>
      <c r="O5" s="376"/>
      <c r="P5" s="376"/>
      <c r="Q5" s="376"/>
      <c r="R5" s="376"/>
      <c r="S5" s="376"/>
    </row>
    <row r="6" spans="1:19" ht="21" customHeight="1" thickBot="1">
      <c r="A6" s="352" t="s">
        <v>57</v>
      </c>
      <c r="B6" s="352"/>
      <c r="C6" s="352"/>
      <c r="D6" s="352"/>
      <c r="E6" s="386"/>
      <c r="F6" s="386"/>
      <c r="G6" s="386"/>
      <c r="H6" s="386"/>
      <c r="I6" s="386"/>
      <c r="J6" s="386"/>
      <c r="K6" s="386"/>
      <c r="L6" s="386"/>
      <c r="M6" s="386"/>
      <c r="N6" s="386"/>
      <c r="O6" s="386"/>
      <c r="P6" s="386"/>
      <c r="Q6" s="386"/>
      <c r="R6" s="386"/>
      <c r="S6" s="386"/>
    </row>
    <row r="7" spans="1:19" ht="12.75" customHeight="1">
      <c r="A7" s="36" t="s">
        <v>58</v>
      </c>
      <c r="B7" s="302" t="s">
        <v>59</v>
      </c>
      <c r="C7" s="303"/>
      <c r="D7" s="303"/>
      <c r="E7" s="303"/>
      <c r="F7" s="303"/>
      <c r="G7" s="284"/>
      <c r="H7" s="346">
        <f ca="1">'DADOS BÁSICOS LICITAÇÃO'!$A$4</f>
        <v>44344</v>
      </c>
      <c r="I7" s="346"/>
      <c r="J7" s="346">
        <f ca="1">'DADOS BÁSICOS LICITAÇÃO'!$A$4</f>
        <v>44344</v>
      </c>
      <c r="K7" s="346"/>
      <c r="L7" s="346">
        <f ca="1">'DADOS BÁSICOS LICITAÇÃO'!$A$4</f>
        <v>44344</v>
      </c>
      <c r="M7" s="346"/>
      <c r="N7" s="346">
        <f ca="1">'DADOS BÁSICOS LICITAÇÃO'!$A$4</f>
        <v>44344</v>
      </c>
      <c r="O7" s="346"/>
      <c r="P7" s="346">
        <f ca="1">'DADOS BÁSICOS LICITAÇÃO'!$A$4</f>
        <v>44344</v>
      </c>
      <c r="Q7" s="346"/>
      <c r="R7" s="346">
        <f ca="1">'DADOS BÁSICOS LICITAÇÃO'!$A$4</f>
        <v>44344</v>
      </c>
      <c r="S7" s="346"/>
    </row>
    <row r="8" spans="1:19" ht="12.75" customHeight="1">
      <c r="A8" s="36" t="s">
        <v>60</v>
      </c>
      <c r="B8" s="286" t="s">
        <v>61</v>
      </c>
      <c r="C8" s="286"/>
      <c r="D8" s="286"/>
      <c r="E8" s="286"/>
      <c r="F8" s="286"/>
      <c r="G8" s="286"/>
      <c r="H8" s="345" t="str">
        <f>'DADOS BÁSICOS LICITAÇÃO'!A8</f>
        <v>Curitiba/PR</v>
      </c>
      <c r="I8" s="345"/>
      <c r="J8" s="387" t="str">
        <f>'DADOS BÁSICOS LICITAÇÃO'!A9</f>
        <v>Guarapuava/PR</v>
      </c>
      <c r="K8" s="387"/>
      <c r="L8" s="387" t="str">
        <f>'DADOS BÁSICOS LICITAÇÃO'!A10</f>
        <v>Londrina/PR</v>
      </c>
      <c r="M8" s="387"/>
      <c r="N8" s="387" t="str">
        <f>'DADOS BÁSICOS LICITAÇÃO'!A11</f>
        <v>Maringá/PR</v>
      </c>
      <c r="O8" s="387"/>
      <c r="P8" s="387" t="str">
        <f>'DADOS BÁSICOS LICITAÇÃO'!A12</f>
        <v>Paranaguá/PR</v>
      </c>
      <c r="Q8" s="387"/>
      <c r="R8" s="387" t="str">
        <f>'DADOS BÁSICOS LICITAÇÃO'!A13</f>
        <v>Ponta Grossa/PR</v>
      </c>
      <c r="S8" s="387"/>
    </row>
    <row r="9" spans="1:19" ht="12.75" customHeight="1">
      <c r="A9" s="36" t="s">
        <v>62</v>
      </c>
      <c r="B9" s="286" t="s">
        <v>63</v>
      </c>
      <c r="C9" s="286"/>
      <c r="D9" s="286"/>
      <c r="E9" s="286"/>
      <c r="F9" s="286"/>
      <c r="G9" s="286"/>
      <c r="H9" s="344" t="str">
        <f>'DADOS BÁSICOS LICITAÇÃO'!D8</f>
        <v>PR000326/2021</v>
      </c>
      <c r="I9" s="344"/>
      <c r="J9" s="344" t="str">
        <f>'DADOS BÁSICOS LICITAÇÃO'!D9</f>
        <v>PR000326/2021</v>
      </c>
      <c r="K9" s="344"/>
      <c r="L9" s="344" t="str">
        <f>'DADOS BÁSICOS LICITAÇÃO'!D10</f>
        <v>PR000326/2021</v>
      </c>
      <c r="M9" s="344"/>
      <c r="N9" s="344" t="str">
        <f>'DADOS BÁSICOS LICITAÇÃO'!D11</f>
        <v>PR000326/2021</v>
      </c>
      <c r="O9" s="344"/>
      <c r="P9" s="344" t="str">
        <f>'DADOS BÁSICOS LICITAÇÃO'!D12</f>
        <v>PR000326/2021</v>
      </c>
      <c r="Q9" s="344"/>
      <c r="R9" s="344" t="str">
        <f>'DADOS BÁSICOS LICITAÇÃO'!D13</f>
        <v>PR000326/2021</v>
      </c>
      <c r="S9" s="344"/>
    </row>
    <row r="10" spans="1:19" ht="12.75" customHeight="1">
      <c r="A10" s="36" t="s">
        <v>64</v>
      </c>
      <c r="B10" s="286" t="s">
        <v>65</v>
      </c>
      <c r="C10" s="286"/>
      <c r="D10" s="286"/>
      <c r="E10" s="286"/>
      <c r="F10" s="286"/>
      <c r="G10" s="286"/>
      <c r="H10" s="344">
        <f>'DADOS BÁSICOS LICITAÇÃO'!$E$17</f>
        <v>12</v>
      </c>
      <c r="I10" s="344"/>
      <c r="J10" s="344">
        <f>'DADOS BÁSICOS LICITAÇÃO'!$E$17</f>
        <v>12</v>
      </c>
      <c r="K10" s="344"/>
      <c r="L10" s="344">
        <f>'DADOS BÁSICOS LICITAÇÃO'!$E$17</f>
        <v>12</v>
      </c>
      <c r="M10" s="344"/>
      <c r="N10" s="344">
        <f>'DADOS BÁSICOS LICITAÇÃO'!$E$17</f>
        <v>12</v>
      </c>
      <c r="O10" s="344"/>
      <c r="P10" s="344">
        <f>'DADOS BÁSICOS LICITAÇÃO'!$E$17</f>
        <v>12</v>
      </c>
      <c r="Q10" s="344"/>
      <c r="R10" s="344">
        <f>'DADOS BÁSICOS LICITAÇÃO'!$E$17</f>
        <v>12</v>
      </c>
      <c r="S10" s="344"/>
    </row>
    <row r="11" spans="1:19" ht="12.75" customHeight="1">
      <c r="A11" s="36" t="s">
        <v>66</v>
      </c>
      <c r="B11" s="286" t="s">
        <v>67</v>
      </c>
      <c r="C11" s="286"/>
      <c r="D11" s="286"/>
      <c r="E11" s="286"/>
      <c r="F11" s="286"/>
      <c r="G11" s="286"/>
      <c r="H11" s="344">
        <f>'DADOS BÁSICOS LICITAÇÃO'!B8</f>
        <v>46</v>
      </c>
      <c r="I11" s="344"/>
      <c r="J11" s="344">
        <f>'DADOS BÁSICOS LICITAÇÃO'!B9</f>
        <v>4</v>
      </c>
      <c r="K11" s="344"/>
      <c r="L11" s="344">
        <f>'DADOS BÁSICOS LICITAÇÃO'!B10</f>
        <v>14</v>
      </c>
      <c r="M11" s="344"/>
      <c r="N11" s="344">
        <f>'DADOS BÁSICOS LICITAÇÃO'!B11</f>
        <v>12</v>
      </c>
      <c r="O11" s="344"/>
      <c r="P11" s="344">
        <f>'DADOS BÁSICOS LICITAÇÃO'!B12</f>
        <v>6</v>
      </c>
      <c r="Q11" s="344"/>
      <c r="R11" s="344">
        <f>'DADOS BÁSICOS LICITAÇÃO'!B13</f>
        <v>4</v>
      </c>
      <c r="S11" s="344"/>
    </row>
    <row r="12" spans="1:19" ht="12.75" customHeight="1">
      <c r="A12" s="37" t="s">
        <v>68</v>
      </c>
      <c r="B12" s="38"/>
      <c r="C12" s="38"/>
      <c r="D12" s="38"/>
      <c r="E12" s="38"/>
      <c r="F12" s="38"/>
      <c r="G12" s="38"/>
      <c r="H12" s="39"/>
      <c r="I12" s="40"/>
      <c r="J12" s="39"/>
      <c r="K12" s="40"/>
      <c r="L12" s="39"/>
      <c r="M12" s="40"/>
      <c r="N12" s="39"/>
      <c r="O12" s="40"/>
      <c r="P12" s="39"/>
      <c r="Q12" s="40"/>
      <c r="R12" s="39"/>
      <c r="S12" s="40"/>
    </row>
    <row r="13" spans="1:19" ht="27" customHeight="1">
      <c r="A13" s="36">
        <v>1</v>
      </c>
      <c r="B13" s="286" t="s">
        <v>69</v>
      </c>
      <c r="C13" s="286"/>
      <c r="D13" s="286"/>
      <c r="E13" s="286"/>
      <c r="F13" s="286"/>
      <c r="G13" s="286"/>
      <c r="H13" s="343" t="s">
        <v>70</v>
      </c>
      <c r="I13" s="343"/>
      <c r="J13" s="343" t="s">
        <v>70</v>
      </c>
      <c r="K13" s="343"/>
      <c r="L13" s="343" t="s">
        <v>70</v>
      </c>
      <c r="M13" s="343"/>
      <c r="N13" s="343" t="s">
        <v>70</v>
      </c>
      <c r="O13" s="343"/>
      <c r="P13" s="343" t="s">
        <v>70</v>
      </c>
      <c r="Q13" s="343"/>
      <c r="R13" s="343" t="s">
        <v>70</v>
      </c>
      <c r="S13" s="343"/>
    </row>
    <row r="14" spans="1:19" ht="12.75" customHeight="1">
      <c r="A14" s="36">
        <v>2</v>
      </c>
      <c r="B14" s="286" t="s">
        <v>71</v>
      </c>
      <c r="C14" s="286"/>
      <c r="D14" s="286"/>
      <c r="E14" s="286"/>
      <c r="F14" s="286"/>
      <c r="G14" s="286"/>
      <c r="H14" s="342" t="str">
        <f>'DADOS BÁSICOS LICITAÇÃO'!$A$17</f>
        <v>4221-05</v>
      </c>
      <c r="I14" s="342"/>
      <c r="J14" s="342" t="str">
        <f>'DADOS BÁSICOS LICITAÇÃO'!$A$17</f>
        <v>4221-05</v>
      </c>
      <c r="K14" s="342"/>
      <c r="L14" s="342" t="str">
        <f>'DADOS BÁSICOS LICITAÇÃO'!$A$17</f>
        <v>4221-05</v>
      </c>
      <c r="M14" s="342"/>
      <c r="N14" s="342" t="str">
        <f>'DADOS BÁSICOS LICITAÇÃO'!$A$17</f>
        <v>4221-05</v>
      </c>
      <c r="O14" s="342"/>
      <c r="P14" s="342" t="str">
        <f>'DADOS BÁSICOS LICITAÇÃO'!$A$17</f>
        <v>4221-05</v>
      </c>
      <c r="Q14" s="342"/>
      <c r="R14" s="342" t="str">
        <f>'DADOS BÁSICOS LICITAÇÃO'!$A$17</f>
        <v>4221-05</v>
      </c>
      <c r="S14" s="342"/>
    </row>
    <row r="15" spans="1:19" ht="15" customHeight="1">
      <c r="A15" s="36">
        <v>4</v>
      </c>
      <c r="B15" s="286" t="s">
        <v>73</v>
      </c>
      <c r="C15" s="286"/>
      <c r="D15" s="286"/>
      <c r="E15" s="286"/>
      <c r="F15" s="286"/>
      <c r="G15" s="286"/>
      <c r="H15" s="342" t="str">
        <f>'DADOS BÁSICOS LICITAÇÃO'!$B$17</f>
        <v>Recepcionista</v>
      </c>
      <c r="I15" s="342"/>
      <c r="J15" s="342" t="str">
        <f>'DADOS BÁSICOS LICITAÇÃO'!$B$17</f>
        <v>Recepcionista</v>
      </c>
      <c r="K15" s="342"/>
      <c r="L15" s="342" t="str">
        <f>'DADOS BÁSICOS LICITAÇÃO'!$B$17</f>
        <v>Recepcionista</v>
      </c>
      <c r="M15" s="342"/>
      <c r="N15" s="342" t="str">
        <f>'DADOS BÁSICOS LICITAÇÃO'!$B$17</f>
        <v>Recepcionista</v>
      </c>
      <c r="O15" s="342"/>
      <c r="P15" s="342" t="str">
        <f>'DADOS BÁSICOS LICITAÇÃO'!$B$17</f>
        <v>Recepcionista</v>
      </c>
      <c r="Q15" s="342"/>
      <c r="R15" s="342" t="str">
        <f>'DADOS BÁSICOS LICITAÇÃO'!$B$17</f>
        <v>Recepcionista</v>
      </c>
      <c r="S15" s="342"/>
    </row>
    <row r="16" spans="1:19" ht="12.75" customHeight="1">
      <c r="A16" s="41">
        <v>5</v>
      </c>
      <c r="B16" s="286" t="s">
        <v>74</v>
      </c>
      <c r="C16" s="286"/>
      <c r="D16" s="286"/>
      <c r="E16" s="286"/>
      <c r="F16" s="286"/>
      <c r="G16" s="286"/>
      <c r="H16" s="384">
        <f>'DADOS BÁSICOS LICITAÇÃO'!E8</f>
        <v>44228</v>
      </c>
      <c r="I16" s="384"/>
      <c r="J16" s="384">
        <f>'DADOS BÁSICOS LICITAÇÃO'!E9</f>
        <v>44228</v>
      </c>
      <c r="K16" s="384"/>
      <c r="L16" s="384">
        <f>'DADOS BÁSICOS LICITAÇÃO'!E10</f>
        <v>44228</v>
      </c>
      <c r="M16" s="384"/>
      <c r="N16" s="384">
        <f>'DADOS BÁSICOS LICITAÇÃO'!E11</f>
        <v>44228</v>
      </c>
      <c r="O16" s="384"/>
      <c r="P16" s="384">
        <f>'DADOS BÁSICOS LICITAÇÃO'!E12</f>
        <v>44228</v>
      </c>
      <c r="Q16" s="384"/>
      <c r="R16" s="384">
        <f>'DADOS BÁSICOS LICITAÇÃO'!E13</f>
        <v>44228</v>
      </c>
      <c r="S16" s="384"/>
    </row>
    <row r="17" spans="1:19" ht="12.75" customHeight="1">
      <c r="A17" s="36">
        <v>3</v>
      </c>
      <c r="B17" s="286" t="s">
        <v>72</v>
      </c>
      <c r="C17" s="286"/>
      <c r="D17" s="286"/>
      <c r="E17" s="286"/>
      <c r="F17" s="286"/>
      <c r="G17" s="286"/>
      <c r="H17" s="383">
        <f>'DADOS BÁSICOS LICITAÇÃO'!H8</f>
        <v>1516.66</v>
      </c>
      <c r="I17" s="383"/>
      <c r="J17" s="383">
        <f>'DADOS BÁSICOS LICITAÇÃO'!H9</f>
        <v>1516.66</v>
      </c>
      <c r="K17" s="383"/>
      <c r="L17" s="383">
        <f>'DADOS BÁSICOS LICITAÇÃO'!H10</f>
        <v>1516.66</v>
      </c>
      <c r="M17" s="383"/>
      <c r="N17" s="383">
        <f>'DADOS BÁSICOS LICITAÇÃO'!H11</f>
        <v>1516.66</v>
      </c>
      <c r="O17" s="383"/>
      <c r="P17" s="383">
        <f>'DADOS BÁSICOS LICITAÇÃO'!H12</f>
        <v>1516.66</v>
      </c>
      <c r="Q17" s="383"/>
      <c r="R17" s="383">
        <f>'DADOS BÁSICOS LICITAÇÃO'!H13</f>
        <v>1516.66</v>
      </c>
      <c r="S17" s="383"/>
    </row>
    <row r="18" spans="1:19" ht="12.75" customHeight="1">
      <c r="A18" s="43">
        <v>6</v>
      </c>
      <c r="B18" s="284" t="s">
        <v>233</v>
      </c>
      <c r="C18" s="284"/>
      <c r="D18" s="284"/>
      <c r="E18" s="284"/>
      <c r="F18" s="284"/>
      <c r="G18" s="284"/>
      <c r="H18" s="382">
        <f>'DADOS BÁSICOS LICITAÇÃO'!G8</f>
        <v>220</v>
      </c>
      <c r="I18" s="382"/>
      <c r="J18" s="336">
        <f>'DADOS BÁSICOS LICITAÇÃO'!G9</f>
        <v>220</v>
      </c>
      <c r="K18" s="337"/>
      <c r="L18" s="336">
        <f>'DADOS BÁSICOS LICITAÇÃO'!G10</f>
        <v>220</v>
      </c>
      <c r="M18" s="337"/>
      <c r="N18" s="336">
        <f>'DADOS BÁSICOS LICITAÇÃO'!G11</f>
        <v>220</v>
      </c>
      <c r="O18" s="337"/>
      <c r="P18" s="336">
        <f>'DADOS BÁSICOS LICITAÇÃO'!G12</f>
        <v>220</v>
      </c>
      <c r="Q18" s="337"/>
      <c r="R18" s="336">
        <f>'DADOS BÁSICOS LICITAÇÃO'!G13</f>
        <v>220</v>
      </c>
      <c r="S18" s="337"/>
    </row>
    <row r="19" spans="1:19" ht="12.75" customHeight="1">
      <c r="A19" s="43">
        <v>6</v>
      </c>
      <c r="B19" s="303" t="s">
        <v>234</v>
      </c>
      <c r="C19" s="303"/>
      <c r="D19" s="303"/>
      <c r="E19" s="303"/>
      <c r="F19" s="303"/>
      <c r="G19" s="284"/>
      <c r="H19" s="336">
        <f>'DADOS BÁSICOS LICITAÇÃO'!$C$17</f>
        <v>200</v>
      </c>
      <c r="I19" s="337"/>
      <c r="J19" s="336">
        <f>'DADOS BÁSICOS LICITAÇÃO'!$C$17</f>
        <v>200</v>
      </c>
      <c r="K19" s="337"/>
      <c r="L19" s="336">
        <f>'DADOS BÁSICOS LICITAÇÃO'!$C$17</f>
        <v>200</v>
      </c>
      <c r="M19" s="337"/>
      <c r="N19" s="336">
        <f>'DADOS BÁSICOS LICITAÇÃO'!$C$17</f>
        <v>200</v>
      </c>
      <c r="O19" s="337"/>
      <c r="P19" s="336">
        <f>'DADOS BÁSICOS LICITAÇÃO'!$C$17</f>
        <v>200</v>
      </c>
      <c r="Q19" s="337"/>
      <c r="R19" s="336">
        <f>'DADOS BÁSICOS LICITAÇÃO'!$C$17</f>
        <v>200</v>
      </c>
      <c r="S19" s="337"/>
    </row>
    <row r="20" spans="1:19" ht="12.75" customHeight="1">
      <c r="A20" s="43">
        <v>7</v>
      </c>
      <c r="B20" s="284" t="s">
        <v>75</v>
      </c>
      <c r="C20" s="284"/>
      <c r="D20" s="284"/>
      <c r="E20" s="284"/>
      <c r="F20" s="284"/>
      <c r="G20" s="284"/>
      <c r="H20" s="336">
        <f>'DADOS BÁSICOS LICITAÇÃO'!$F$17</f>
        <v>22</v>
      </c>
      <c r="I20" s="337"/>
      <c r="J20" s="336">
        <f>'DADOS BÁSICOS LICITAÇÃO'!$F$17</f>
        <v>22</v>
      </c>
      <c r="K20" s="337"/>
      <c r="L20" s="336">
        <f>'DADOS BÁSICOS LICITAÇÃO'!$F$17</f>
        <v>22</v>
      </c>
      <c r="M20" s="337"/>
      <c r="N20" s="336">
        <f>'DADOS BÁSICOS LICITAÇÃO'!$F$17</f>
        <v>22</v>
      </c>
      <c r="O20" s="337"/>
      <c r="P20" s="336">
        <f>'DADOS BÁSICOS LICITAÇÃO'!$F$17</f>
        <v>22</v>
      </c>
      <c r="Q20" s="337"/>
      <c r="R20" s="336">
        <f>'DADOS BÁSICOS LICITAÇÃO'!$F$17</f>
        <v>22</v>
      </c>
      <c r="S20" s="337"/>
    </row>
    <row r="21" spans="1:19">
      <c r="A21" s="44" t="s">
        <v>76</v>
      </c>
      <c r="B21" s="38"/>
      <c r="C21" s="38"/>
      <c r="D21" s="38"/>
      <c r="E21" s="38"/>
      <c r="F21" s="38"/>
      <c r="G21" s="38"/>
      <c r="H21" s="39"/>
      <c r="I21" s="40"/>
      <c r="J21" s="39"/>
      <c r="K21" s="40"/>
      <c r="L21" s="39"/>
      <c r="M21" s="40"/>
      <c r="N21" s="39"/>
      <c r="O21" s="40"/>
      <c r="P21" s="39"/>
      <c r="Q21" s="40"/>
      <c r="R21" s="39"/>
      <c r="S21" s="40"/>
    </row>
    <row r="22" spans="1:19" ht="12.75" customHeight="1">
      <c r="A22" s="45">
        <v>1</v>
      </c>
      <c r="B22" s="288" t="s">
        <v>77</v>
      </c>
      <c r="C22" s="288"/>
      <c r="D22" s="288"/>
      <c r="E22" s="288"/>
      <c r="F22" s="288"/>
      <c r="G22" s="288"/>
      <c r="H22" s="46" t="s">
        <v>78</v>
      </c>
      <c r="I22" s="47" t="s">
        <v>79</v>
      </c>
      <c r="J22" s="46" t="s">
        <v>78</v>
      </c>
      <c r="K22" s="47" t="s">
        <v>79</v>
      </c>
      <c r="L22" s="46" t="s">
        <v>78</v>
      </c>
      <c r="M22" s="47" t="s">
        <v>79</v>
      </c>
      <c r="N22" s="46" t="s">
        <v>78</v>
      </c>
      <c r="O22" s="47" t="s">
        <v>79</v>
      </c>
      <c r="P22" s="46" t="s">
        <v>78</v>
      </c>
      <c r="Q22" s="47" t="s">
        <v>79</v>
      </c>
      <c r="R22" s="46" t="s">
        <v>78</v>
      </c>
      <c r="S22" s="47" t="s">
        <v>79</v>
      </c>
    </row>
    <row r="23" spans="1:19" ht="12.75" customHeight="1">
      <c r="A23" s="36" t="s">
        <v>58</v>
      </c>
      <c r="B23" s="286" t="s">
        <v>235</v>
      </c>
      <c r="C23" s="286"/>
      <c r="D23" s="286"/>
      <c r="E23" s="286"/>
      <c r="F23" s="286"/>
      <c r="G23" s="286"/>
      <c r="H23" s="48"/>
      <c r="I23" s="57">
        <f>(H17/'DADOS BÁSICOS LICITAÇÃO'!$G8)*'DADOS BÁSICOS LICITAÇÃO'!$C$17</f>
        <v>1378.78</v>
      </c>
      <c r="J23" s="48"/>
      <c r="K23" s="57">
        <f>(J17/'DADOS BÁSICOS LICITAÇÃO'!$G9)*'DADOS BÁSICOS LICITAÇÃO'!$C$17</f>
        <v>1378.78</v>
      </c>
      <c r="L23" s="48"/>
      <c r="M23" s="57">
        <f>(L17/'DADOS BÁSICOS LICITAÇÃO'!$G10)*'DADOS BÁSICOS LICITAÇÃO'!$C$17</f>
        <v>1378.78</v>
      </c>
      <c r="N23" s="48"/>
      <c r="O23" s="57">
        <f>(N17/'DADOS BÁSICOS LICITAÇÃO'!$G11)*'DADOS BÁSICOS LICITAÇÃO'!$C$17</f>
        <v>1378.78</v>
      </c>
      <c r="P23" s="48"/>
      <c r="Q23" s="57">
        <f>(P17/'DADOS BÁSICOS LICITAÇÃO'!$G12)*'DADOS BÁSICOS LICITAÇÃO'!$C$17</f>
        <v>1378.78</v>
      </c>
      <c r="R23" s="48"/>
      <c r="S23" s="57">
        <f>(R17/'DADOS BÁSICOS LICITAÇÃO'!$G13)*'DADOS BÁSICOS LICITAÇÃO'!$C$17</f>
        <v>1378.78</v>
      </c>
    </row>
    <row r="24" spans="1:19" ht="12.75" customHeight="1">
      <c r="A24" s="36" t="s">
        <v>60</v>
      </c>
      <c r="B24" s="335" t="s">
        <v>80</v>
      </c>
      <c r="C24" s="335"/>
      <c r="D24" s="335"/>
      <c r="E24" s="335"/>
      <c r="F24" s="335"/>
      <c r="G24" s="335"/>
      <c r="H24" s="50">
        <v>0.3</v>
      </c>
      <c r="I24" s="71">
        <f>I23*H24</f>
        <v>413.63</v>
      </c>
      <c r="J24" s="50">
        <v>0.3</v>
      </c>
      <c r="K24" s="71">
        <f>K23*J24</f>
        <v>413.63</v>
      </c>
      <c r="L24" s="50">
        <v>0.3</v>
      </c>
      <c r="M24" s="71">
        <f>M23*L24</f>
        <v>413.63</v>
      </c>
      <c r="N24" s="50">
        <v>0.3</v>
      </c>
      <c r="O24" s="71">
        <f>O23*N24</f>
        <v>413.63</v>
      </c>
      <c r="P24" s="50">
        <v>0.3</v>
      </c>
      <c r="Q24" s="71">
        <f>Q23*P24</f>
        <v>413.63</v>
      </c>
      <c r="R24" s="50">
        <v>0.3</v>
      </c>
      <c r="S24" s="71">
        <f>S23*R24</f>
        <v>413.63</v>
      </c>
    </row>
    <row r="25" spans="1:19" s="2" customFormat="1" ht="12.75" customHeight="1">
      <c r="A25" s="52" t="s">
        <v>62</v>
      </c>
      <c r="B25" s="335" t="s">
        <v>81</v>
      </c>
      <c r="C25" s="335"/>
      <c r="D25" s="335"/>
      <c r="E25" s="335"/>
      <c r="F25" s="335"/>
      <c r="G25" s="335"/>
      <c r="H25" s="53"/>
      <c r="I25" s="54"/>
      <c r="J25" s="53"/>
      <c r="K25" s="54"/>
      <c r="L25" s="53"/>
      <c r="M25" s="54"/>
      <c r="N25" s="53"/>
      <c r="O25" s="54"/>
      <c r="P25" s="53"/>
      <c r="Q25" s="54"/>
      <c r="R25" s="53"/>
      <c r="S25" s="54"/>
    </row>
    <row r="26" spans="1:19" s="2" customFormat="1" ht="12.75" customHeight="1">
      <c r="A26" s="52" t="s">
        <v>64</v>
      </c>
      <c r="B26" s="286" t="s">
        <v>82</v>
      </c>
      <c r="C26" s="286"/>
      <c r="D26" s="286"/>
      <c r="E26" s="286"/>
      <c r="F26" s="286"/>
      <c r="G26" s="286"/>
      <c r="H26" s="56"/>
      <c r="I26" s="57"/>
      <c r="J26" s="56"/>
      <c r="K26" s="57"/>
      <c r="L26" s="56"/>
      <c r="M26" s="57"/>
      <c r="N26" s="56"/>
      <c r="O26" s="57"/>
      <c r="P26" s="56"/>
      <c r="Q26" s="57"/>
      <c r="R26" s="56"/>
      <c r="S26" s="57"/>
    </row>
    <row r="27" spans="1:19" s="2" customFormat="1" ht="12.75" customHeight="1">
      <c r="A27" s="52" t="s">
        <v>66</v>
      </c>
      <c r="B27" s="286" t="s">
        <v>83</v>
      </c>
      <c r="C27" s="286"/>
      <c r="D27" s="286"/>
      <c r="E27" s="326"/>
      <c r="F27" s="326"/>
      <c r="G27" s="326"/>
      <c r="H27" s="58"/>
      <c r="I27" s="57"/>
      <c r="J27" s="58"/>
      <c r="K27" s="57"/>
      <c r="L27" s="58"/>
      <c r="M27" s="57"/>
      <c r="N27" s="58"/>
      <c r="O27" s="57"/>
      <c r="P27" s="58"/>
      <c r="Q27" s="57"/>
      <c r="R27" s="58"/>
      <c r="S27" s="57"/>
    </row>
    <row r="28" spans="1:19" s="2" customFormat="1" ht="12.75" customHeight="1">
      <c r="A28" s="59" t="s">
        <v>84</v>
      </c>
      <c r="B28" s="327" t="s">
        <v>171</v>
      </c>
      <c r="C28" s="328"/>
      <c r="D28" s="328"/>
      <c r="E28" s="329" t="s">
        <v>172</v>
      </c>
      <c r="F28" s="330"/>
      <c r="G28" s="331"/>
      <c r="H28" s="60">
        <f>'DADOS BÁSICOS LICITAÇÃO'!$C$22</f>
        <v>1.05</v>
      </c>
      <c r="I28" s="57">
        <f>(((I23+I24)/H19)*(1.5))*H28</f>
        <v>14.12</v>
      </c>
      <c r="J28" s="60">
        <f>'DADOS BÁSICOS LICITAÇÃO'!$C$22</f>
        <v>1.05</v>
      </c>
      <c r="K28" s="57">
        <f>(((K23+K24)/J19)*(1.5))*J28</f>
        <v>14.12</v>
      </c>
      <c r="L28" s="60">
        <f>'DADOS BÁSICOS LICITAÇÃO'!$C$22</f>
        <v>1.05</v>
      </c>
      <c r="M28" s="57">
        <f>(((M23+M24)/L19)*(1.5))*L28</f>
        <v>14.12</v>
      </c>
      <c r="N28" s="60">
        <f>'DADOS BÁSICOS LICITAÇÃO'!$C$22</f>
        <v>1.05</v>
      </c>
      <c r="O28" s="57">
        <f>(((O23+O24)/N19)*(1.5))*N28</f>
        <v>14.12</v>
      </c>
      <c r="P28" s="60">
        <f>'DADOS BÁSICOS LICITAÇÃO'!$C$22</f>
        <v>1.05</v>
      </c>
      <c r="Q28" s="57">
        <f>(((Q23+Q24)/P19)*(1.5))*P28</f>
        <v>14.12</v>
      </c>
      <c r="R28" s="60">
        <f>'DADOS BÁSICOS LICITAÇÃO'!$C$22</f>
        <v>1.05</v>
      </c>
      <c r="S28" s="57">
        <f>(((S23+S24)/R19)*(1.5))*R28</f>
        <v>14.12</v>
      </c>
    </row>
    <row r="29" spans="1:19" s="2" customFormat="1" ht="12.75" customHeight="1">
      <c r="A29" s="332" t="s">
        <v>85</v>
      </c>
      <c r="B29" s="332"/>
      <c r="C29" s="332"/>
      <c r="D29" s="332"/>
      <c r="E29" s="333"/>
      <c r="F29" s="333"/>
      <c r="G29" s="333"/>
      <c r="H29" s="61"/>
      <c r="I29" s="62">
        <f>SUM(I23:I28)</f>
        <v>1806.53</v>
      </c>
      <c r="J29" s="61"/>
      <c r="K29" s="62">
        <f>SUM(K23:K28)</f>
        <v>1806.53</v>
      </c>
      <c r="L29" s="61"/>
      <c r="M29" s="62">
        <f>SUM(M23:M28)</f>
        <v>1806.53</v>
      </c>
      <c r="N29" s="61"/>
      <c r="O29" s="62">
        <f>SUM(O23:O28)</f>
        <v>1806.53</v>
      </c>
      <c r="P29" s="61"/>
      <c r="Q29" s="62">
        <f>SUM(Q23:Q28)</f>
        <v>1806.53</v>
      </c>
      <c r="R29" s="61"/>
      <c r="S29" s="62">
        <f>SUM(S23:S28)</f>
        <v>1806.53</v>
      </c>
    </row>
    <row r="30" spans="1:19">
      <c r="A30" s="37" t="s">
        <v>86</v>
      </c>
      <c r="B30" s="63"/>
      <c r="C30" s="63"/>
      <c r="D30" s="63"/>
      <c r="E30" s="63"/>
      <c r="F30" s="63"/>
      <c r="G30" s="63"/>
      <c r="H30" s="64"/>
      <c r="I30" s="65"/>
      <c r="J30" s="64"/>
      <c r="K30" s="65"/>
      <c r="L30" s="64"/>
      <c r="M30" s="65"/>
      <c r="N30" s="64"/>
      <c r="O30" s="65"/>
      <c r="P30" s="64"/>
      <c r="Q30" s="65"/>
      <c r="R30" s="64"/>
      <c r="S30" s="65"/>
    </row>
    <row r="31" spans="1:19" ht="18" customHeight="1">
      <c r="A31" s="66" t="s">
        <v>87</v>
      </c>
      <c r="B31" s="334" t="s">
        <v>88</v>
      </c>
      <c r="C31" s="334"/>
      <c r="D31" s="334"/>
      <c r="E31" s="334"/>
      <c r="F31" s="334"/>
      <c r="G31" s="334"/>
      <c r="H31" s="67" t="s">
        <v>89</v>
      </c>
      <c r="I31" s="68" t="s">
        <v>79</v>
      </c>
      <c r="J31" s="67" t="s">
        <v>89</v>
      </c>
      <c r="K31" s="68" t="s">
        <v>79</v>
      </c>
      <c r="L31" s="67" t="s">
        <v>89</v>
      </c>
      <c r="M31" s="68" t="s">
        <v>79</v>
      </c>
      <c r="N31" s="67" t="s">
        <v>89</v>
      </c>
      <c r="O31" s="68" t="s">
        <v>79</v>
      </c>
      <c r="P31" s="67" t="s">
        <v>89</v>
      </c>
      <c r="Q31" s="68" t="s">
        <v>79</v>
      </c>
      <c r="R31" s="67" t="s">
        <v>89</v>
      </c>
      <c r="S31" s="68" t="s">
        <v>79</v>
      </c>
    </row>
    <row r="32" spans="1:19" ht="16.5" customHeight="1">
      <c r="A32" s="69" t="s">
        <v>58</v>
      </c>
      <c r="B32" s="286" t="s">
        <v>90</v>
      </c>
      <c r="C32" s="286"/>
      <c r="D32" s="286"/>
      <c r="E32" s="286"/>
      <c r="F32" s="286"/>
      <c r="G32" s="286"/>
      <c r="H32" s="70">
        <f>1/12</f>
        <v>8.3299999999999999E-2</v>
      </c>
      <c r="I32" s="71">
        <f>I$29*H$32</f>
        <v>150.47999999999999</v>
      </c>
      <c r="J32" s="70">
        <f t="shared" ref="J32" si="0">1/12</f>
        <v>8.3299999999999999E-2</v>
      </c>
      <c r="K32" s="71">
        <f t="shared" ref="K32" si="1">K$29*J$32</f>
        <v>150.47999999999999</v>
      </c>
      <c r="L32" s="70">
        <f t="shared" ref="L32" si="2">1/12</f>
        <v>8.3299999999999999E-2</v>
      </c>
      <c r="M32" s="71">
        <f t="shared" ref="M32" si="3">M$29*L$32</f>
        <v>150.47999999999999</v>
      </c>
      <c r="N32" s="70">
        <f t="shared" ref="N32" si="4">1/12</f>
        <v>8.3299999999999999E-2</v>
      </c>
      <c r="O32" s="71">
        <f t="shared" ref="O32" si="5">O$29*N$32</f>
        <v>150.47999999999999</v>
      </c>
      <c r="P32" s="70">
        <f t="shared" ref="P32" si="6">1/12</f>
        <v>8.3299999999999999E-2</v>
      </c>
      <c r="Q32" s="71">
        <f t="shared" ref="Q32" si="7">Q$29*P$32</f>
        <v>150.47999999999999</v>
      </c>
      <c r="R32" s="70">
        <f t="shared" ref="R32" si="8">1/12</f>
        <v>8.3299999999999999E-2</v>
      </c>
      <c r="S32" s="71">
        <f t="shared" ref="S32" si="9">S$29*R$32</f>
        <v>150.47999999999999</v>
      </c>
    </row>
    <row r="33" spans="1:19" ht="16.5" customHeight="1">
      <c r="A33" s="69" t="s">
        <v>60</v>
      </c>
      <c r="B33" s="286" t="s">
        <v>91</v>
      </c>
      <c r="C33" s="286"/>
      <c r="D33" s="286"/>
      <c r="E33" s="286"/>
      <c r="F33" s="286"/>
      <c r="G33" s="286"/>
      <c r="H33" s="70">
        <f>SUM(H34:H39)</f>
        <v>0.1111</v>
      </c>
      <c r="I33" s="71">
        <f>SUM(I34:I39)</f>
        <v>200.7</v>
      </c>
      <c r="J33" s="70">
        <f t="shared" ref="J33:S33" si="10">SUM(J34:J39)</f>
        <v>0.1111</v>
      </c>
      <c r="K33" s="71">
        <f t="shared" si="10"/>
        <v>200.7</v>
      </c>
      <c r="L33" s="70">
        <f t="shared" si="10"/>
        <v>0.1111</v>
      </c>
      <c r="M33" s="71">
        <f t="shared" si="10"/>
        <v>200.7</v>
      </c>
      <c r="N33" s="70">
        <f t="shared" si="10"/>
        <v>0.1111</v>
      </c>
      <c r="O33" s="71">
        <f t="shared" si="10"/>
        <v>200.7</v>
      </c>
      <c r="P33" s="70">
        <f t="shared" si="10"/>
        <v>0.1111</v>
      </c>
      <c r="Q33" s="71">
        <f t="shared" si="10"/>
        <v>200.7</v>
      </c>
      <c r="R33" s="70">
        <f t="shared" si="10"/>
        <v>0.1111</v>
      </c>
      <c r="S33" s="71">
        <f t="shared" si="10"/>
        <v>200.7</v>
      </c>
    </row>
    <row r="34" spans="1:19" ht="16.5" customHeight="1">
      <c r="A34" s="69"/>
      <c r="B34" s="69" t="s">
        <v>183</v>
      </c>
      <c r="C34" s="302" t="s">
        <v>188</v>
      </c>
      <c r="D34" s="303"/>
      <c r="E34" s="303"/>
      <c r="F34" s="303"/>
      <c r="G34" s="284"/>
      <c r="H34" s="70">
        <f>(1/3)/12</f>
        <v>2.7799999999999998E-2</v>
      </c>
      <c r="I34" s="71">
        <f t="shared" ref="I34:I39" si="11">I$29*H34</f>
        <v>50.22</v>
      </c>
      <c r="J34" s="70">
        <f t="shared" ref="J34" si="12">(1/3)/12</f>
        <v>2.7799999999999998E-2</v>
      </c>
      <c r="K34" s="71">
        <f t="shared" ref="K34" si="13">K$29*J34</f>
        <v>50.22</v>
      </c>
      <c r="L34" s="70">
        <f t="shared" ref="L34" si="14">(1/3)/12</f>
        <v>2.7799999999999998E-2</v>
      </c>
      <c r="M34" s="71">
        <f t="shared" ref="M34" si="15">M$29*L34</f>
        <v>50.22</v>
      </c>
      <c r="N34" s="70">
        <f t="shared" ref="N34" si="16">(1/3)/12</f>
        <v>2.7799999999999998E-2</v>
      </c>
      <c r="O34" s="71">
        <f t="shared" ref="O34" si="17">O$29*N34</f>
        <v>50.22</v>
      </c>
      <c r="P34" s="70">
        <f t="shared" ref="P34" si="18">(1/3)/12</f>
        <v>2.7799999999999998E-2</v>
      </c>
      <c r="Q34" s="71">
        <f t="shared" ref="Q34" si="19">Q$29*P34</f>
        <v>50.22</v>
      </c>
      <c r="R34" s="70">
        <f t="shared" ref="R34" si="20">(1/3)/12</f>
        <v>2.7799999999999998E-2</v>
      </c>
      <c r="S34" s="71">
        <f t="shared" ref="S34:S39" si="21">S$29*R34</f>
        <v>50.22</v>
      </c>
    </row>
    <row r="35" spans="1:19" ht="16.5" customHeight="1">
      <c r="A35" s="72"/>
      <c r="B35" s="72" t="s">
        <v>184</v>
      </c>
      <c r="C35" s="320" t="s">
        <v>205</v>
      </c>
      <c r="D35" s="321"/>
      <c r="E35" s="321"/>
      <c r="F35" s="321"/>
      <c r="G35" s="322"/>
      <c r="H35" s="73">
        <f>1/12</f>
        <v>8.3299999999999999E-2</v>
      </c>
      <c r="I35" s="74">
        <f t="shared" si="11"/>
        <v>150.47999999999999</v>
      </c>
      <c r="J35" s="73">
        <f t="shared" ref="J35" si="22">1/12</f>
        <v>8.3299999999999999E-2</v>
      </c>
      <c r="K35" s="74">
        <f t="shared" ref="K35" si="23">K$29*J35</f>
        <v>150.47999999999999</v>
      </c>
      <c r="L35" s="73">
        <f t="shared" ref="L35" si="24">1/12</f>
        <v>8.3299999999999999E-2</v>
      </c>
      <c r="M35" s="74">
        <f t="shared" ref="M35" si="25">M$29*L35</f>
        <v>150.47999999999999</v>
      </c>
      <c r="N35" s="73">
        <f t="shared" ref="N35" si="26">1/12</f>
        <v>8.3299999999999999E-2</v>
      </c>
      <c r="O35" s="74">
        <f t="shared" ref="O35" si="27">O$29*N35</f>
        <v>150.47999999999999</v>
      </c>
      <c r="P35" s="73">
        <f t="shared" ref="P35" si="28">1/12</f>
        <v>8.3299999999999999E-2</v>
      </c>
      <c r="Q35" s="74">
        <f t="shared" ref="Q35" si="29">Q$29*P35</f>
        <v>150.47999999999999</v>
      </c>
      <c r="R35" s="73">
        <f t="shared" ref="R35" si="30">1/12</f>
        <v>8.3299999999999999E-2</v>
      </c>
      <c r="S35" s="74">
        <f t="shared" si="21"/>
        <v>150.47999999999999</v>
      </c>
    </row>
    <row r="36" spans="1:19">
      <c r="A36" s="72"/>
      <c r="B36" s="72" t="s">
        <v>266</v>
      </c>
      <c r="C36" s="320" t="s">
        <v>267</v>
      </c>
      <c r="D36" s="321"/>
      <c r="E36" s="321"/>
      <c r="F36" s="321"/>
      <c r="G36" s="322"/>
      <c r="H36" s="73">
        <v>0</v>
      </c>
      <c r="I36" s="74">
        <f t="shared" si="11"/>
        <v>0</v>
      </c>
      <c r="J36" s="73">
        <v>0</v>
      </c>
      <c r="K36" s="74">
        <f t="shared" ref="K36" si="31">K$29*J36</f>
        <v>0</v>
      </c>
      <c r="L36" s="73">
        <v>0</v>
      </c>
      <c r="M36" s="74">
        <f t="shared" ref="M36" si="32">M$29*L36</f>
        <v>0</v>
      </c>
      <c r="N36" s="73">
        <v>0</v>
      </c>
      <c r="O36" s="74">
        <f t="shared" ref="O36" si="33">O$29*N36</f>
        <v>0</v>
      </c>
      <c r="P36" s="73">
        <v>0</v>
      </c>
      <c r="Q36" s="74">
        <f t="shared" ref="Q36" si="34">Q$29*P36</f>
        <v>0</v>
      </c>
      <c r="R36" s="73">
        <v>0</v>
      </c>
      <c r="S36" s="74">
        <f t="shared" si="21"/>
        <v>0</v>
      </c>
    </row>
    <row r="37" spans="1:19" ht="16.5" customHeight="1">
      <c r="A37" s="76"/>
      <c r="B37" s="76" t="s">
        <v>185</v>
      </c>
      <c r="C37" s="323" t="s">
        <v>206</v>
      </c>
      <c r="D37" s="324"/>
      <c r="E37" s="324"/>
      <c r="F37" s="324"/>
      <c r="G37" s="325"/>
      <c r="H37" s="77">
        <v>0</v>
      </c>
      <c r="I37" s="78">
        <f t="shared" si="11"/>
        <v>0</v>
      </c>
      <c r="J37" s="77">
        <v>0</v>
      </c>
      <c r="K37" s="78">
        <f t="shared" ref="K37" si="35">K$29*J37</f>
        <v>0</v>
      </c>
      <c r="L37" s="77">
        <v>0</v>
      </c>
      <c r="M37" s="78">
        <f t="shared" ref="M37" si="36">M$29*L37</f>
        <v>0</v>
      </c>
      <c r="N37" s="77">
        <v>0</v>
      </c>
      <c r="O37" s="78">
        <f t="shared" ref="O37" si="37">O$29*N37</f>
        <v>0</v>
      </c>
      <c r="P37" s="77">
        <v>0</v>
      </c>
      <c r="Q37" s="78">
        <f t="shared" ref="Q37" si="38">Q$29*P37</f>
        <v>0</v>
      </c>
      <c r="R37" s="77">
        <v>0</v>
      </c>
      <c r="S37" s="78">
        <f t="shared" si="21"/>
        <v>0</v>
      </c>
    </row>
    <row r="38" spans="1:19" ht="16.5" customHeight="1">
      <c r="A38" s="76"/>
      <c r="B38" s="76" t="s">
        <v>186</v>
      </c>
      <c r="C38" s="323" t="s">
        <v>207</v>
      </c>
      <c r="D38" s="324"/>
      <c r="E38" s="324"/>
      <c r="F38" s="324"/>
      <c r="G38" s="325"/>
      <c r="H38" s="77">
        <v>0</v>
      </c>
      <c r="I38" s="78">
        <f t="shared" si="11"/>
        <v>0</v>
      </c>
      <c r="J38" s="77">
        <v>0</v>
      </c>
      <c r="K38" s="78">
        <f t="shared" ref="K38" si="39">K$29*J38</f>
        <v>0</v>
      </c>
      <c r="L38" s="77">
        <v>0</v>
      </c>
      <c r="M38" s="78">
        <f t="shared" ref="M38" si="40">M$29*L38</f>
        <v>0</v>
      </c>
      <c r="N38" s="77">
        <v>0</v>
      </c>
      <c r="O38" s="78">
        <f t="shared" ref="O38" si="41">O$29*N38</f>
        <v>0</v>
      </c>
      <c r="P38" s="77">
        <v>0</v>
      </c>
      <c r="Q38" s="78">
        <f t="shared" ref="Q38" si="42">Q$29*P38</f>
        <v>0</v>
      </c>
      <c r="R38" s="77">
        <v>0</v>
      </c>
      <c r="S38" s="78">
        <f t="shared" si="21"/>
        <v>0</v>
      </c>
    </row>
    <row r="39" spans="1:19" ht="16.5" customHeight="1">
      <c r="A39" s="76"/>
      <c r="B39" s="76" t="s">
        <v>187</v>
      </c>
      <c r="C39" s="323" t="s">
        <v>208</v>
      </c>
      <c r="D39" s="324"/>
      <c r="E39" s="324"/>
      <c r="F39" s="324"/>
      <c r="G39" s="325"/>
      <c r="H39" s="77">
        <v>0</v>
      </c>
      <c r="I39" s="78">
        <f t="shared" si="11"/>
        <v>0</v>
      </c>
      <c r="J39" s="77">
        <v>0</v>
      </c>
      <c r="K39" s="78">
        <f t="shared" ref="K39" si="43">K$29*J39</f>
        <v>0</v>
      </c>
      <c r="L39" s="77">
        <v>0</v>
      </c>
      <c r="M39" s="78">
        <f t="shared" ref="M39" si="44">M$29*L39</f>
        <v>0</v>
      </c>
      <c r="N39" s="77">
        <v>0</v>
      </c>
      <c r="O39" s="78">
        <f t="shared" ref="O39" si="45">O$29*N39</f>
        <v>0</v>
      </c>
      <c r="P39" s="77">
        <v>0</v>
      </c>
      <c r="Q39" s="78">
        <f t="shared" ref="Q39" si="46">Q$29*P39</f>
        <v>0</v>
      </c>
      <c r="R39" s="77">
        <v>0</v>
      </c>
      <c r="S39" s="78">
        <f t="shared" si="21"/>
        <v>0</v>
      </c>
    </row>
    <row r="40" spans="1:19">
      <c r="A40" s="287" t="s">
        <v>85</v>
      </c>
      <c r="B40" s="287"/>
      <c r="C40" s="287"/>
      <c r="D40" s="287"/>
      <c r="E40" s="287"/>
      <c r="F40" s="287"/>
      <c r="G40" s="287"/>
      <c r="H40" s="79">
        <f>SUM(H32:H33)</f>
        <v>0.19439999999999999</v>
      </c>
      <c r="I40" s="80">
        <f>SUM(I32:I33)</f>
        <v>351.18</v>
      </c>
      <c r="J40" s="79">
        <f t="shared" ref="J40:S40" si="47">SUM(J32:J33)</f>
        <v>0.19439999999999999</v>
      </c>
      <c r="K40" s="80">
        <f t="shared" si="47"/>
        <v>351.18</v>
      </c>
      <c r="L40" s="79">
        <f t="shared" si="47"/>
        <v>0.19439999999999999</v>
      </c>
      <c r="M40" s="80">
        <f t="shared" si="47"/>
        <v>351.18</v>
      </c>
      <c r="N40" s="79">
        <f t="shared" si="47"/>
        <v>0.19439999999999999</v>
      </c>
      <c r="O40" s="80">
        <f t="shared" si="47"/>
        <v>351.18</v>
      </c>
      <c r="P40" s="79">
        <f t="shared" si="47"/>
        <v>0.19439999999999999</v>
      </c>
      <c r="Q40" s="80">
        <f t="shared" si="47"/>
        <v>351.18</v>
      </c>
      <c r="R40" s="79">
        <f t="shared" si="47"/>
        <v>0.19439999999999999</v>
      </c>
      <c r="S40" s="80">
        <f t="shared" si="47"/>
        <v>351.18</v>
      </c>
    </row>
    <row r="41" spans="1:19">
      <c r="A41" s="304" t="s">
        <v>92</v>
      </c>
      <c r="B41" s="304"/>
      <c r="C41" s="304"/>
      <c r="D41" s="304"/>
      <c r="E41" s="304"/>
      <c r="F41" s="304"/>
      <c r="G41" s="304"/>
      <c r="H41" s="81" t="s">
        <v>93</v>
      </c>
      <c r="I41" s="82">
        <f>I29</f>
        <v>1806.53</v>
      </c>
      <c r="J41" s="81" t="s">
        <v>94</v>
      </c>
      <c r="K41" s="82">
        <f>K29</f>
        <v>1806.53</v>
      </c>
      <c r="L41" s="81" t="s">
        <v>95</v>
      </c>
      <c r="M41" s="82">
        <f>M29</f>
        <v>1806.53</v>
      </c>
      <c r="N41" s="81" t="s">
        <v>96</v>
      </c>
      <c r="O41" s="82">
        <f>O29</f>
        <v>1806.53</v>
      </c>
      <c r="P41" s="81" t="s">
        <v>97</v>
      </c>
      <c r="Q41" s="82">
        <f>Q29</f>
        <v>1806.53</v>
      </c>
      <c r="R41" s="81" t="s">
        <v>98</v>
      </c>
      <c r="S41" s="82">
        <f>S29</f>
        <v>1806.53</v>
      </c>
    </row>
    <row r="42" spans="1:19">
      <c r="A42" s="304"/>
      <c r="B42" s="304"/>
      <c r="C42" s="304"/>
      <c r="D42" s="304"/>
      <c r="E42" s="304"/>
      <c r="F42" s="304"/>
      <c r="G42" s="304"/>
      <c r="H42" s="81" t="s">
        <v>99</v>
      </c>
      <c r="I42" s="82">
        <f>I40</f>
        <v>351.18</v>
      </c>
      <c r="J42" s="81" t="s">
        <v>100</v>
      </c>
      <c r="K42" s="82">
        <f>K40</f>
        <v>351.18</v>
      </c>
      <c r="L42" s="81" t="s">
        <v>101</v>
      </c>
      <c r="M42" s="82">
        <f>M40</f>
        <v>351.18</v>
      </c>
      <c r="N42" s="81" t="s">
        <v>102</v>
      </c>
      <c r="O42" s="82">
        <f>O40</f>
        <v>351.18</v>
      </c>
      <c r="P42" s="81" t="s">
        <v>103</v>
      </c>
      <c r="Q42" s="82">
        <f>Q40</f>
        <v>351.18</v>
      </c>
      <c r="R42" s="81" t="s">
        <v>104</v>
      </c>
      <c r="S42" s="82">
        <f>S40</f>
        <v>351.18</v>
      </c>
    </row>
    <row r="43" spans="1:19">
      <c r="A43" s="304"/>
      <c r="B43" s="304"/>
      <c r="C43" s="304"/>
      <c r="D43" s="304"/>
      <c r="E43" s="304"/>
      <c r="F43" s="304"/>
      <c r="G43" s="304"/>
      <c r="H43" s="81" t="s">
        <v>85</v>
      </c>
      <c r="I43" s="82">
        <f>SUM(I41:I42)</f>
        <v>2157.71</v>
      </c>
      <c r="J43" s="81" t="s">
        <v>85</v>
      </c>
      <c r="K43" s="82">
        <f>SUM(K41:K42)</f>
        <v>2157.71</v>
      </c>
      <c r="L43" s="81" t="s">
        <v>85</v>
      </c>
      <c r="M43" s="82">
        <f>SUM(M41:M42)</f>
        <v>2157.71</v>
      </c>
      <c r="N43" s="81" t="s">
        <v>85</v>
      </c>
      <c r="O43" s="82">
        <f>SUM(O41:O42)</f>
        <v>2157.71</v>
      </c>
      <c r="P43" s="81" t="s">
        <v>85</v>
      </c>
      <c r="Q43" s="82">
        <f>SUM(Q41:Q42)</f>
        <v>2157.71</v>
      </c>
      <c r="R43" s="81" t="s">
        <v>85</v>
      </c>
      <c r="S43" s="82">
        <f>SUM(S41:S42)</f>
        <v>2157.71</v>
      </c>
    </row>
    <row r="44" spans="1:19" ht="33" customHeight="1">
      <c r="A44" s="37" t="s">
        <v>105</v>
      </c>
      <c r="B44" s="63"/>
      <c r="C44" s="63"/>
      <c r="D44" s="63"/>
      <c r="E44" s="63"/>
      <c r="F44" s="63"/>
      <c r="G44" s="63"/>
      <c r="H44" s="64"/>
      <c r="I44" s="65"/>
      <c r="J44" s="64"/>
      <c r="K44" s="65"/>
      <c r="L44" s="64"/>
      <c r="M44" s="65"/>
      <c r="N44" s="64"/>
      <c r="O44" s="65"/>
      <c r="P44" s="64"/>
      <c r="Q44" s="65"/>
      <c r="R44" s="64"/>
      <c r="S44" s="65"/>
    </row>
    <row r="45" spans="1:19" ht="19.5" customHeight="1">
      <c r="A45" s="83" t="s">
        <v>106</v>
      </c>
      <c r="B45" s="288" t="s">
        <v>107</v>
      </c>
      <c r="C45" s="288"/>
      <c r="D45" s="288"/>
      <c r="E45" s="288"/>
      <c r="F45" s="288"/>
      <c r="G45" s="288"/>
      <c r="H45" s="67" t="s">
        <v>89</v>
      </c>
      <c r="I45" s="84" t="s">
        <v>79</v>
      </c>
      <c r="J45" s="67" t="s">
        <v>89</v>
      </c>
      <c r="K45" s="84" t="s">
        <v>79</v>
      </c>
      <c r="L45" s="67" t="s">
        <v>89</v>
      </c>
      <c r="M45" s="84" t="s">
        <v>79</v>
      </c>
      <c r="N45" s="67" t="s">
        <v>89</v>
      </c>
      <c r="O45" s="84" t="s">
        <v>79</v>
      </c>
      <c r="P45" s="67" t="s">
        <v>89</v>
      </c>
      <c r="Q45" s="84" t="s">
        <v>79</v>
      </c>
      <c r="R45" s="67" t="s">
        <v>89</v>
      </c>
      <c r="S45" s="84" t="s">
        <v>79</v>
      </c>
    </row>
    <row r="46" spans="1:19" ht="12.75" customHeight="1">
      <c r="A46" s="85" t="s">
        <v>58</v>
      </c>
      <c r="B46" s="286" t="s">
        <v>32</v>
      </c>
      <c r="C46" s="286"/>
      <c r="D46" s="286"/>
      <c r="E46" s="286"/>
      <c r="F46" s="286"/>
      <c r="G46" s="286"/>
      <c r="H46" s="50">
        <f>IF('DADOS BÁSICOS LICITAÇÃO'!$B$25="LUCRO PRESUMIDO",'DADOS BÁSICOS LICITAÇÃO'!$B$29,'DADOS BÁSICOS LICITAÇÃO'!$C$29)</f>
        <v>0.2</v>
      </c>
      <c r="I46" s="71">
        <f>I43*H46</f>
        <v>431.54</v>
      </c>
      <c r="J46" s="50">
        <f>IF('DADOS BÁSICOS LICITAÇÃO'!$B$25="LUCRO PRESUMIDO",'DADOS BÁSICOS LICITAÇÃO'!$B$29,'DADOS BÁSICOS LICITAÇÃO'!$C$29)</f>
        <v>0.2</v>
      </c>
      <c r="K46" s="71">
        <f>K43*J46</f>
        <v>431.54</v>
      </c>
      <c r="L46" s="50">
        <f>IF('DADOS BÁSICOS LICITAÇÃO'!$B$25="LUCRO PRESUMIDO",'DADOS BÁSICOS LICITAÇÃO'!$B$29,'DADOS BÁSICOS LICITAÇÃO'!$C$29)</f>
        <v>0.2</v>
      </c>
      <c r="M46" s="71">
        <f>M43*L46</f>
        <v>431.54</v>
      </c>
      <c r="N46" s="50">
        <f>IF('DADOS BÁSICOS LICITAÇÃO'!$B$25="LUCRO PRESUMIDO",'DADOS BÁSICOS LICITAÇÃO'!$B$29,'DADOS BÁSICOS LICITAÇÃO'!$C$29)</f>
        <v>0.2</v>
      </c>
      <c r="O46" s="71">
        <f>O43*N46</f>
        <v>431.54</v>
      </c>
      <c r="P46" s="50">
        <f>IF('DADOS BÁSICOS LICITAÇÃO'!$B$25="LUCRO PRESUMIDO",'DADOS BÁSICOS LICITAÇÃO'!$B$29,'DADOS BÁSICOS LICITAÇÃO'!$C$29)</f>
        <v>0.2</v>
      </c>
      <c r="Q46" s="71">
        <f>Q43*P46</f>
        <v>431.54</v>
      </c>
      <c r="R46" s="50">
        <f>IF('DADOS BÁSICOS LICITAÇÃO'!$B$25="LUCRO PRESUMIDO",'DADOS BÁSICOS LICITAÇÃO'!$B$29,'DADOS BÁSICOS LICITAÇÃO'!$C$29)</f>
        <v>0.2</v>
      </c>
      <c r="S46" s="71">
        <f>S43*R46</f>
        <v>431.54</v>
      </c>
    </row>
    <row r="47" spans="1:19" ht="12.75" customHeight="1">
      <c r="A47" s="85" t="s">
        <v>60</v>
      </c>
      <c r="B47" s="286" t="s">
        <v>108</v>
      </c>
      <c r="C47" s="286"/>
      <c r="D47" s="286"/>
      <c r="E47" s="286"/>
      <c r="F47" s="286"/>
      <c r="G47" s="286"/>
      <c r="H47" s="50">
        <f>IF('DADOS BÁSICOS LICITAÇÃO'!$B$25="LUCRO PRESUMIDO",'DADOS BÁSICOS LICITAÇÃO'!$B$30,'DADOS BÁSICOS LICITAÇÃO'!$C$30)</f>
        <v>2.5000000000000001E-2</v>
      </c>
      <c r="I47" s="71">
        <f>I43*H47</f>
        <v>53.94</v>
      </c>
      <c r="J47" s="50">
        <f>IF('DADOS BÁSICOS LICITAÇÃO'!$B$25="LUCRO PRESUMIDO",'DADOS BÁSICOS LICITAÇÃO'!$B$30,'DADOS BÁSICOS LICITAÇÃO'!$C$30)</f>
        <v>2.5000000000000001E-2</v>
      </c>
      <c r="K47" s="71">
        <f>K43*J47</f>
        <v>53.94</v>
      </c>
      <c r="L47" s="50">
        <f>IF('DADOS BÁSICOS LICITAÇÃO'!$B$25="LUCRO PRESUMIDO",'DADOS BÁSICOS LICITAÇÃO'!$B$30,'DADOS BÁSICOS LICITAÇÃO'!$C$30)</f>
        <v>2.5000000000000001E-2</v>
      </c>
      <c r="M47" s="71">
        <f>M43*L47</f>
        <v>53.94</v>
      </c>
      <c r="N47" s="50">
        <f>IF('DADOS BÁSICOS LICITAÇÃO'!$B$25="LUCRO PRESUMIDO",'DADOS BÁSICOS LICITAÇÃO'!$B$30,'DADOS BÁSICOS LICITAÇÃO'!$C$30)</f>
        <v>2.5000000000000001E-2</v>
      </c>
      <c r="O47" s="71">
        <f>O43*N47</f>
        <v>53.94</v>
      </c>
      <c r="P47" s="50">
        <f>IF('DADOS BÁSICOS LICITAÇÃO'!$B$25="LUCRO PRESUMIDO",'DADOS BÁSICOS LICITAÇÃO'!$B$30,'DADOS BÁSICOS LICITAÇÃO'!$C$30)</f>
        <v>2.5000000000000001E-2</v>
      </c>
      <c r="Q47" s="71">
        <f>Q43*P47</f>
        <v>53.94</v>
      </c>
      <c r="R47" s="50">
        <f>IF('DADOS BÁSICOS LICITAÇÃO'!$B$25="LUCRO PRESUMIDO",'DADOS BÁSICOS LICITAÇÃO'!$B$30,'DADOS BÁSICOS LICITAÇÃO'!$C$30)</f>
        <v>2.5000000000000001E-2</v>
      </c>
      <c r="S47" s="71">
        <f>S43*R47</f>
        <v>53.94</v>
      </c>
    </row>
    <row r="48" spans="1:19" ht="17.25" customHeight="1">
      <c r="A48" s="85" t="s">
        <v>62</v>
      </c>
      <c r="B48" s="286" t="s">
        <v>109</v>
      </c>
      <c r="C48" s="286"/>
      <c r="D48" s="286"/>
      <c r="E48" s="286"/>
      <c r="F48" s="286"/>
      <c r="G48" s="286"/>
      <c r="H48" s="50">
        <f>IF('DADOS BÁSICOS LICITAÇÃO'!$B$25="LUCRO PRESUMIDO",'DADOS BÁSICOS LICITAÇÃO'!$B$31,'DADOS BÁSICOS LICITAÇÃO'!$C$31)</f>
        <v>0.03</v>
      </c>
      <c r="I48" s="71">
        <f>I43*H48</f>
        <v>64.73</v>
      </c>
      <c r="J48" s="50">
        <f>IF('DADOS BÁSICOS LICITAÇÃO'!$B$25="LUCRO PRESUMIDO",'DADOS BÁSICOS LICITAÇÃO'!$B$31,'DADOS BÁSICOS LICITAÇÃO'!$C$31)</f>
        <v>0.03</v>
      </c>
      <c r="K48" s="71">
        <f>K43*J48</f>
        <v>64.73</v>
      </c>
      <c r="L48" s="50">
        <f>IF('DADOS BÁSICOS LICITAÇÃO'!$B$25="LUCRO PRESUMIDO",'DADOS BÁSICOS LICITAÇÃO'!$B$31,'DADOS BÁSICOS LICITAÇÃO'!$C$31)</f>
        <v>0.03</v>
      </c>
      <c r="M48" s="71">
        <f>M43*L48</f>
        <v>64.73</v>
      </c>
      <c r="N48" s="50">
        <f>IF('DADOS BÁSICOS LICITAÇÃO'!$B$25="LUCRO PRESUMIDO",'DADOS BÁSICOS LICITAÇÃO'!$B$31,'DADOS BÁSICOS LICITAÇÃO'!$C$31)</f>
        <v>0.03</v>
      </c>
      <c r="O48" s="71">
        <f>O43*N48</f>
        <v>64.73</v>
      </c>
      <c r="P48" s="50">
        <f>IF('DADOS BÁSICOS LICITAÇÃO'!$B$25="LUCRO PRESUMIDO",'DADOS BÁSICOS LICITAÇÃO'!$B$31,'DADOS BÁSICOS LICITAÇÃO'!$C$31)</f>
        <v>0.03</v>
      </c>
      <c r="Q48" s="71">
        <f>Q43*P48</f>
        <v>64.73</v>
      </c>
      <c r="R48" s="50">
        <f>IF('DADOS BÁSICOS LICITAÇÃO'!$B$25="LUCRO PRESUMIDO",'DADOS BÁSICOS LICITAÇÃO'!$B$31,'DADOS BÁSICOS LICITAÇÃO'!$C$31)</f>
        <v>0.03</v>
      </c>
      <c r="S48" s="71">
        <f>S43*R48</f>
        <v>64.73</v>
      </c>
    </row>
    <row r="49" spans="1:20" ht="12.75" customHeight="1">
      <c r="A49" s="85" t="s">
        <v>64</v>
      </c>
      <c r="B49" s="286" t="s">
        <v>35</v>
      </c>
      <c r="C49" s="286"/>
      <c r="D49" s="286"/>
      <c r="E49" s="286"/>
      <c r="F49" s="286"/>
      <c r="G49" s="286"/>
      <c r="H49" s="50">
        <f>IF('DADOS BÁSICOS LICITAÇÃO'!$B$25="LUCRO PRESUMIDO",'DADOS BÁSICOS LICITAÇÃO'!$B$32,'DADOS BÁSICOS LICITAÇÃO'!$C$32)</f>
        <v>1.4999999999999999E-2</v>
      </c>
      <c r="I49" s="71">
        <f>I43*H49</f>
        <v>32.369999999999997</v>
      </c>
      <c r="J49" s="50">
        <f>IF('DADOS BÁSICOS LICITAÇÃO'!$B$25="LUCRO PRESUMIDO",'DADOS BÁSICOS LICITAÇÃO'!$B$32,'DADOS BÁSICOS LICITAÇÃO'!$C$32)</f>
        <v>1.4999999999999999E-2</v>
      </c>
      <c r="K49" s="71">
        <f>K43*J49</f>
        <v>32.369999999999997</v>
      </c>
      <c r="L49" s="50">
        <f>IF('DADOS BÁSICOS LICITAÇÃO'!$B$25="LUCRO PRESUMIDO",'DADOS BÁSICOS LICITAÇÃO'!$B$32,'DADOS BÁSICOS LICITAÇÃO'!$C$32)</f>
        <v>1.4999999999999999E-2</v>
      </c>
      <c r="M49" s="71">
        <f>M43*L49</f>
        <v>32.369999999999997</v>
      </c>
      <c r="N49" s="50">
        <f>IF('DADOS BÁSICOS LICITAÇÃO'!$B$25="LUCRO PRESUMIDO",'DADOS BÁSICOS LICITAÇÃO'!$B$32,'DADOS BÁSICOS LICITAÇÃO'!$C$32)</f>
        <v>1.4999999999999999E-2</v>
      </c>
      <c r="O49" s="71">
        <f>O43*N49</f>
        <v>32.369999999999997</v>
      </c>
      <c r="P49" s="50">
        <f>IF('DADOS BÁSICOS LICITAÇÃO'!$B$25="LUCRO PRESUMIDO",'DADOS BÁSICOS LICITAÇÃO'!$B$32,'DADOS BÁSICOS LICITAÇÃO'!$C$32)</f>
        <v>1.4999999999999999E-2</v>
      </c>
      <c r="Q49" s="71">
        <f>Q43*P49</f>
        <v>32.369999999999997</v>
      </c>
      <c r="R49" s="50">
        <f>IF('DADOS BÁSICOS LICITAÇÃO'!$B$25="LUCRO PRESUMIDO",'DADOS BÁSICOS LICITAÇÃO'!$B$32,'DADOS BÁSICOS LICITAÇÃO'!$C$32)</f>
        <v>1.4999999999999999E-2</v>
      </c>
      <c r="S49" s="71">
        <f>S43*R49</f>
        <v>32.369999999999997</v>
      </c>
    </row>
    <row r="50" spans="1:20" ht="12.75" customHeight="1">
      <c r="A50" s="85" t="s">
        <v>66</v>
      </c>
      <c r="B50" s="286" t="s">
        <v>36</v>
      </c>
      <c r="C50" s="286"/>
      <c r="D50" s="286"/>
      <c r="E50" s="286"/>
      <c r="F50" s="286"/>
      <c r="G50" s="286"/>
      <c r="H50" s="50">
        <f>IF('DADOS BÁSICOS LICITAÇÃO'!$B$25="LUCRO PRESUMIDO",'DADOS BÁSICOS LICITAÇÃO'!$B$33,'DADOS BÁSICOS LICITAÇÃO'!$C$33)</f>
        <v>0.01</v>
      </c>
      <c r="I50" s="71">
        <f>I43*H50</f>
        <v>21.58</v>
      </c>
      <c r="J50" s="50">
        <f>IF('DADOS BÁSICOS LICITAÇÃO'!$B$25="LUCRO PRESUMIDO",'DADOS BÁSICOS LICITAÇÃO'!$B$33,'DADOS BÁSICOS LICITAÇÃO'!$C$33)</f>
        <v>0.01</v>
      </c>
      <c r="K50" s="71">
        <f>K43*J50</f>
        <v>21.58</v>
      </c>
      <c r="L50" s="50">
        <f>IF('DADOS BÁSICOS LICITAÇÃO'!$B$25="LUCRO PRESUMIDO",'DADOS BÁSICOS LICITAÇÃO'!$B$33,'DADOS BÁSICOS LICITAÇÃO'!$C$33)</f>
        <v>0.01</v>
      </c>
      <c r="M50" s="71">
        <f>M43*L50</f>
        <v>21.58</v>
      </c>
      <c r="N50" s="50">
        <f>IF('DADOS BÁSICOS LICITAÇÃO'!$B$25="LUCRO PRESUMIDO",'DADOS BÁSICOS LICITAÇÃO'!$B$33,'DADOS BÁSICOS LICITAÇÃO'!$C$33)</f>
        <v>0.01</v>
      </c>
      <c r="O50" s="71">
        <f>O43*N50</f>
        <v>21.58</v>
      </c>
      <c r="P50" s="50">
        <f>IF('DADOS BÁSICOS LICITAÇÃO'!$B$25="LUCRO PRESUMIDO",'DADOS BÁSICOS LICITAÇÃO'!$B$33,'DADOS BÁSICOS LICITAÇÃO'!$C$33)</f>
        <v>0.01</v>
      </c>
      <c r="Q50" s="71">
        <f>Q43*P50</f>
        <v>21.58</v>
      </c>
      <c r="R50" s="50">
        <f>IF('DADOS BÁSICOS LICITAÇÃO'!$B$25="LUCRO PRESUMIDO",'DADOS BÁSICOS LICITAÇÃO'!$B$33,'DADOS BÁSICOS LICITAÇÃO'!$C$33)</f>
        <v>0.01</v>
      </c>
      <c r="S50" s="71">
        <f>S43*R50</f>
        <v>21.58</v>
      </c>
    </row>
    <row r="51" spans="1:20" ht="12.75" customHeight="1">
      <c r="A51" s="85" t="s">
        <v>84</v>
      </c>
      <c r="B51" s="286" t="s">
        <v>37</v>
      </c>
      <c r="C51" s="286"/>
      <c r="D51" s="286"/>
      <c r="E51" s="286"/>
      <c r="F51" s="286"/>
      <c r="G51" s="286"/>
      <c r="H51" s="50">
        <f>IF('DADOS BÁSICOS LICITAÇÃO'!$B$25="LUCRO PRESUMIDO",'DADOS BÁSICOS LICITAÇÃO'!$B$34,'DADOS BÁSICOS LICITAÇÃO'!$C$34)</f>
        <v>6.0000000000000001E-3</v>
      </c>
      <c r="I51" s="71">
        <f>I43*H51</f>
        <v>12.95</v>
      </c>
      <c r="J51" s="50">
        <f>IF('DADOS BÁSICOS LICITAÇÃO'!$B$25="LUCRO PRESUMIDO",'DADOS BÁSICOS LICITAÇÃO'!$B$34,'DADOS BÁSICOS LICITAÇÃO'!$C$34)</f>
        <v>6.0000000000000001E-3</v>
      </c>
      <c r="K51" s="71">
        <f>K43*J51</f>
        <v>12.95</v>
      </c>
      <c r="L51" s="50">
        <f>IF('DADOS BÁSICOS LICITAÇÃO'!$B$25="LUCRO PRESUMIDO",'DADOS BÁSICOS LICITAÇÃO'!$B$34,'DADOS BÁSICOS LICITAÇÃO'!$C$34)</f>
        <v>6.0000000000000001E-3</v>
      </c>
      <c r="M51" s="71">
        <f>M43*L51</f>
        <v>12.95</v>
      </c>
      <c r="N51" s="50">
        <f>IF('DADOS BÁSICOS LICITAÇÃO'!$B$25="LUCRO PRESUMIDO",'DADOS BÁSICOS LICITAÇÃO'!$B$34,'DADOS BÁSICOS LICITAÇÃO'!$C$34)</f>
        <v>6.0000000000000001E-3</v>
      </c>
      <c r="O51" s="71">
        <f>O43*N51</f>
        <v>12.95</v>
      </c>
      <c r="P51" s="50">
        <f>IF('DADOS BÁSICOS LICITAÇÃO'!$B$25="LUCRO PRESUMIDO",'DADOS BÁSICOS LICITAÇÃO'!$B$34,'DADOS BÁSICOS LICITAÇÃO'!$C$34)</f>
        <v>6.0000000000000001E-3</v>
      </c>
      <c r="Q51" s="71">
        <f>Q43*P51</f>
        <v>12.95</v>
      </c>
      <c r="R51" s="50">
        <f>IF('DADOS BÁSICOS LICITAÇÃO'!$B$25="LUCRO PRESUMIDO",'DADOS BÁSICOS LICITAÇÃO'!$B$34,'DADOS BÁSICOS LICITAÇÃO'!$C$34)</f>
        <v>6.0000000000000001E-3</v>
      </c>
      <c r="S51" s="71">
        <f>S43*R51</f>
        <v>12.95</v>
      </c>
    </row>
    <row r="52" spans="1:20" ht="12.75" customHeight="1">
      <c r="A52" s="85" t="s">
        <v>110</v>
      </c>
      <c r="B52" s="286" t="s">
        <v>38</v>
      </c>
      <c r="C52" s="286"/>
      <c r="D52" s="286"/>
      <c r="E52" s="286"/>
      <c r="F52" s="286"/>
      <c r="G52" s="286"/>
      <c r="H52" s="50">
        <f>IF('DADOS BÁSICOS LICITAÇÃO'!$B$25="LUCRO PRESUMIDO",'DADOS BÁSICOS LICITAÇÃO'!$B$35,'DADOS BÁSICOS LICITAÇÃO'!$C$35)</f>
        <v>2E-3</v>
      </c>
      <c r="I52" s="71">
        <f>I43*H52</f>
        <v>4.32</v>
      </c>
      <c r="J52" s="50">
        <f>IF('DADOS BÁSICOS LICITAÇÃO'!$B$25="LUCRO PRESUMIDO",'DADOS BÁSICOS LICITAÇÃO'!$B$35,'DADOS BÁSICOS LICITAÇÃO'!$C$35)</f>
        <v>2E-3</v>
      </c>
      <c r="K52" s="71">
        <f>K43*J52</f>
        <v>4.32</v>
      </c>
      <c r="L52" s="50">
        <f>IF('DADOS BÁSICOS LICITAÇÃO'!$B$25="LUCRO PRESUMIDO",'DADOS BÁSICOS LICITAÇÃO'!$B$35,'DADOS BÁSICOS LICITAÇÃO'!$C$35)</f>
        <v>2E-3</v>
      </c>
      <c r="M52" s="71">
        <f>M43*L52</f>
        <v>4.32</v>
      </c>
      <c r="N52" s="50">
        <f>IF('DADOS BÁSICOS LICITAÇÃO'!$B$25="LUCRO PRESUMIDO",'DADOS BÁSICOS LICITAÇÃO'!$B$35,'DADOS BÁSICOS LICITAÇÃO'!$C$35)</f>
        <v>2E-3</v>
      </c>
      <c r="O52" s="71">
        <f>O43*N52</f>
        <v>4.32</v>
      </c>
      <c r="P52" s="50">
        <f>IF('DADOS BÁSICOS LICITAÇÃO'!$B$25="LUCRO PRESUMIDO",'DADOS BÁSICOS LICITAÇÃO'!$B$35,'DADOS BÁSICOS LICITAÇÃO'!$C$35)</f>
        <v>2E-3</v>
      </c>
      <c r="Q52" s="71">
        <f>Q43*P52</f>
        <v>4.32</v>
      </c>
      <c r="R52" s="50">
        <f>IF('DADOS BÁSICOS LICITAÇÃO'!$B$25="LUCRO PRESUMIDO",'DADOS BÁSICOS LICITAÇÃO'!$B$35,'DADOS BÁSICOS LICITAÇÃO'!$C$35)</f>
        <v>2E-3</v>
      </c>
      <c r="S52" s="71">
        <f>S43*R52</f>
        <v>4.32</v>
      </c>
    </row>
    <row r="53" spans="1:20" ht="12.75" customHeight="1">
      <c r="A53" s="86" t="s">
        <v>111</v>
      </c>
      <c r="B53" s="286" t="s">
        <v>39</v>
      </c>
      <c r="C53" s="286"/>
      <c r="D53" s="286"/>
      <c r="E53" s="286"/>
      <c r="F53" s="286"/>
      <c r="G53" s="286"/>
      <c r="H53" s="50">
        <f>IF('DADOS BÁSICOS LICITAÇÃO'!$B$25="LUCRO PRESUMIDO",'DADOS BÁSICOS LICITAÇÃO'!$B$36,'DADOS BÁSICOS LICITAÇÃO'!$C$36)</f>
        <v>0.08</v>
      </c>
      <c r="I53" s="71">
        <f>I43*H53</f>
        <v>172.62</v>
      </c>
      <c r="J53" s="50">
        <f>IF('DADOS BÁSICOS LICITAÇÃO'!$B$25="LUCRO PRESUMIDO",'DADOS BÁSICOS LICITAÇÃO'!$B$36,'DADOS BÁSICOS LICITAÇÃO'!$C$36)</f>
        <v>0.08</v>
      </c>
      <c r="K53" s="71">
        <f>K43*J53</f>
        <v>172.62</v>
      </c>
      <c r="L53" s="50">
        <f>IF('DADOS BÁSICOS LICITAÇÃO'!$B$25="LUCRO PRESUMIDO",'DADOS BÁSICOS LICITAÇÃO'!$B$36,'DADOS BÁSICOS LICITAÇÃO'!$C$36)</f>
        <v>0.08</v>
      </c>
      <c r="M53" s="71">
        <f>M43*L53</f>
        <v>172.62</v>
      </c>
      <c r="N53" s="50">
        <f>IF('DADOS BÁSICOS LICITAÇÃO'!$B$25="LUCRO PRESUMIDO",'DADOS BÁSICOS LICITAÇÃO'!$B$36,'DADOS BÁSICOS LICITAÇÃO'!$C$36)</f>
        <v>0.08</v>
      </c>
      <c r="O53" s="71">
        <f>O43*N53</f>
        <v>172.62</v>
      </c>
      <c r="P53" s="50">
        <f>IF('DADOS BÁSICOS LICITAÇÃO'!$B$25="LUCRO PRESUMIDO",'DADOS BÁSICOS LICITAÇÃO'!$B$36,'DADOS BÁSICOS LICITAÇÃO'!$C$36)</f>
        <v>0.08</v>
      </c>
      <c r="Q53" s="71">
        <f>Q43*P53</f>
        <v>172.62</v>
      </c>
      <c r="R53" s="50">
        <f>IF('DADOS BÁSICOS LICITAÇÃO'!$B$25="LUCRO PRESUMIDO",'DADOS BÁSICOS LICITAÇÃO'!$B$36,'DADOS BÁSICOS LICITAÇÃO'!$C$36)</f>
        <v>0.08</v>
      </c>
      <c r="S53" s="71">
        <f>S43*R53</f>
        <v>172.62</v>
      </c>
    </row>
    <row r="54" spans="1:20" ht="18.75" customHeight="1">
      <c r="A54" s="287" t="s">
        <v>85</v>
      </c>
      <c r="B54" s="287"/>
      <c r="C54" s="287"/>
      <c r="D54" s="287"/>
      <c r="E54" s="287"/>
      <c r="F54" s="287"/>
      <c r="G54" s="287"/>
      <c r="H54" s="87">
        <f>SUM(H46:H53)</f>
        <v>0.36799999999999999</v>
      </c>
      <c r="I54" s="80">
        <f t="shared" ref="I54:S54" si="48">SUM(I46:I53)</f>
        <v>794.05</v>
      </c>
      <c r="J54" s="87">
        <f t="shared" si="48"/>
        <v>0.36799999999999999</v>
      </c>
      <c r="K54" s="80">
        <f t="shared" si="48"/>
        <v>794.05</v>
      </c>
      <c r="L54" s="87">
        <f t="shared" si="48"/>
        <v>0.36799999999999999</v>
      </c>
      <c r="M54" s="80">
        <f t="shared" si="48"/>
        <v>794.05</v>
      </c>
      <c r="N54" s="87">
        <f t="shared" si="48"/>
        <v>0.36799999999999999</v>
      </c>
      <c r="O54" s="80">
        <f t="shared" si="48"/>
        <v>794.05</v>
      </c>
      <c r="P54" s="87">
        <f t="shared" si="48"/>
        <v>0.36799999999999999</v>
      </c>
      <c r="Q54" s="80">
        <f t="shared" si="48"/>
        <v>794.05</v>
      </c>
      <c r="R54" s="87">
        <f t="shared" si="48"/>
        <v>0.36799999999999999</v>
      </c>
      <c r="S54" s="80">
        <f t="shared" si="48"/>
        <v>794.05</v>
      </c>
    </row>
    <row r="55" spans="1:20" ht="33" customHeight="1">
      <c r="A55" s="88" t="s">
        <v>112</v>
      </c>
      <c r="B55" s="88"/>
      <c r="C55" s="88"/>
      <c r="D55" s="88"/>
      <c r="E55" s="88"/>
      <c r="F55" s="88"/>
      <c r="G55" s="88"/>
      <c r="H55" s="89"/>
      <c r="I55" s="90"/>
      <c r="J55" s="89"/>
      <c r="K55" s="90"/>
      <c r="L55" s="89"/>
      <c r="M55" s="90"/>
      <c r="N55" s="89"/>
      <c r="O55" s="90"/>
      <c r="P55" s="89"/>
      <c r="Q55" s="90"/>
      <c r="R55" s="89"/>
      <c r="S55" s="90"/>
    </row>
    <row r="56" spans="1:20" ht="17.25" customHeight="1">
      <c r="A56" s="83" t="s">
        <v>113</v>
      </c>
      <c r="B56" s="316" t="s">
        <v>114</v>
      </c>
      <c r="C56" s="316"/>
      <c r="D56" s="316"/>
      <c r="E56" s="316"/>
      <c r="F56" s="316"/>
      <c r="G56" s="316"/>
      <c r="H56" s="39"/>
      <c r="I56" s="91" t="s">
        <v>79</v>
      </c>
      <c r="J56" s="39"/>
      <c r="K56" s="91" t="s">
        <v>79</v>
      </c>
      <c r="L56" s="39"/>
      <c r="M56" s="91" t="s">
        <v>79</v>
      </c>
      <c r="N56" s="39"/>
      <c r="O56" s="91" t="s">
        <v>79</v>
      </c>
      <c r="P56" s="39"/>
      <c r="Q56" s="91" t="s">
        <v>79</v>
      </c>
      <c r="R56" s="39"/>
      <c r="S56" s="91" t="s">
        <v>79</v>
      </c>
    </row>
    <row r="57" spans="1:20">
      <c r="A57" s="69" t="s">
        <v>58</v>
      </c>
      <c r="B57" s="294" t="s">
        <v>115</v>
      </c>
      <c r="C57" s="294"/>
      <c r="D57" s="294"/>
      <c r="E57" s="294"/>
      <c r="F57" s="294"/>
      <c r="G57" s="294"/>
      <c r="H57" s="92"/>
      <c r="I57" s="317">
        <f>IF((H58*H59)-(I23*H60)&gt;0,((H58*H59)-(I23*H60)),0)</f>
        <v>115.27</v>
      </c>
      <c r="J57" s="92"/>
      <c r="K57" s="381">
        <f>IF((J58*J59)-(K23*J60)&gt;0,((J58*J59)-(K23*J60)),0)</f>
        <v>66.87</v>
      </c>
      <c r="L57" s="92"/>
      <c r="M57" s="381">
        <f>IF((L58*L59)-(M23*L60)&gt;0,((L58*L59)-(M23*L60)),0)</f>
        <v>104.27</v>
      </c>
      <c r="N57" s="92"/>
      <c r="O57" s="381">
        <f>IF((N58*N59)-(O23*N60)&gt;0,((N58*N59)-(O23*N60)),0)</f>
        <v>106.47</v>
      </c>
      <c r="P57" s="92"/>
      <c r="Q57" s="381">
        <f>IF((P58*P59)-(Q23*P60)&gt;0,((P58*P59)-(Q23*P60)),0)</f>
        <v>80.069999999999993</v>
      </c>
      <c r="R57" s="92"/>
      <c r="S57" s="381">
        <f>IF((R58*R59)-(S23*R60)&gt;0,((R58*R59)-(S23*R60)),0)</f>
        <v>106.47</v>
      </c>
    </row>
    <row r="58" spans="1:20" ht="24.75" customHeight="1">
      <c r="A58" s="69"/>
      <c r="B58" s="286" t="s">
        <v>116</v>
      </c>
      <c r="C58" s="286"/>
      <c r="D58" s="286"/>
      <c r="E58" s="286"/>
      <c r="F58" s="286"/>
      <c r="G58" s="286"/>
      <c r="H58" s="93">
        <f>'DADOS BÁSICOS LICITAÇÃO'!P8</f>
        <v>4.5</v>
      </c>
      <c r="I58" s="318"/>
      <c r="J58" s="93">
        <f>'DADOS BÁSICOS LICITAÇÃO'!P9</f>
        <v>3.4</v>
      </c>
      <c r="K58" s="381"/>
      <c r="L58" s="93">
        <f>'DADOS BÁSICOS LICITAÇÃO'!P10</f>
        <v>4.25</v>
      </c>
      <c r="M58" s="381"/>
      <c r="N58" s="93">
        <f>'DADOS BÁSICOS LICITAÇÃO'!P11</f>
        <v>4.3</v>
      </c>
      <c r="O58" s="381"/>
      <c r="P58" s="93">
        <f>'DADOS BÁSICOS LICITAÇÃO'!P12</f>
        <v>3.7</v>
      </c>
      <c r="Q58" s="381"/>
      <c r="R58" s="93">
        <f>'DADOS BÁSICOS LICITAÇÃO'!P13</f>
        <v>4.3</v>
      </c>
      <c r="S58" s="381"/>
    </row>
    <row r="59" spans="1:20" ht="12.75" customHeight="1">
      <c r="A59" s="94"/>
      <c r="B59" s="286" t="s">
        <v>117</v>
      </c>
      <c r="C59" s="286"/>
      <c r="D59" s="286"/>
      <c r="E59" s="286"/>
      <c r="F59" s="286"/>
      <c r="G59" s="286"/>
      <c r="H59" s="95">
        <f>'DADOS BÁSICOS LICITAÇÃO'!$O8</f>
        <v>44</v>
      </c>
      <c r="I59" s="318"/>
      <c r="J59" s="95">
        <f>'DADOS BÁSICOS LICITAÇÃO'!$O9</f>
        <v>44</v>
      </c>
      <c r="K59" s="381"/>
      <c r="L59" s="95">
        <f>'DADOS BÁSICOS LICITAÇÃO'!$O10</f>
        <v>44</v>
      </c>
      <c r="M59" s="381"/>
      <c r="N59" s="95">
        <f>'DADOS BÁSICOS LICITAÇÃO'!$O11</f>
        <v>44</v>
      </c>
      <c r="O59" s="381"/>
      <c r="P59" s="95">
        <f>'DADOS BÁSICOS LICITAÇÃO'!$O12</f>
        <v>44</v>
      </c>
      <c r="Q59" s="381"/>
      <c r="R59" s="95">
        <f>'DADOS BÁSICOS LICITAÇÃO'!$O13</f>
        <v>44</v>
      </c>
      <c r="S59" s="381"/>
    </row>
    <row r="60" spans="1:20" ht="12.75" customHeight="1">
      <c r="A60" s="69"/>
      <c r="B60" s="286" t="s">
        <v>118</v>
      </c>
      <c r="C60" s="286"/>
      <c r="D60" s="286"/>
      <c r="E60" s="286"/>
      <c r="F60" s="286"/>
      <c r="G60" s="286"/>
      <c r="H60" s="96">
        <v>0.06</v>
      </c>
      <c r="I60" s="319"/>
      <c r="J60" s="96">
        <v>0.06</v>
      </c>
      <c r="K60" s="381"/>
      <c r="L60" s="96">
        <v>0.06</v>
      </c>
      <c r="M60" s="381"/>
      <c r="N60" s="96">
        <v>0.06</v>
      </c>
      <c r="O60" s="381"/>
      <c r="P60" s="96">
        <v>0.06</v>
      </c>
      <c r="Q60" s="381"/>
      <c r="R60" s="96">
        <v>0.06</v>
      </c>
      <c r="S60" s="381"/>
    </row>
    <row r="61" spans="1:20" ht="15" customHeight="1">
      <c r="A61" s="69" t="s">
        <v>60</v>
      </c>
      <c r="B61" s="286" t="s">
        <v>119</v>
      </c>
      <c r="C61" s="286"/>
      <c r="D61" s="286"/>
      <c r="E61" s="286"/>
      <c r="F61" s="286"/>
      <c r="G61" s="286"/>
      <c r="H61" s="97"/>
      <c r="I61" s="313">
        <f>H62-(H62*H64)</f>
        <v>360</v>
      </c>
      <c r="J61" s="97"/>
      <c r="K61" s="380">
        <f>J62-(J62*J64)</f>
        <v>360</v>
      </c>
      <c r="L61" s="97"/>
      <c r="M61" s="380">
        <f>L62-(L62*L64)</f>
        <v>360</v>
      </c>
      <c r="N61" s="97"/>
      <c r="O61" s="380">
        <f>N62-(N62*N64)</f>
        <v>360</v>
      </c>
      <c r="P61" s="97"/>
      <c r="Q61" s="380">
        <f>P62-(P62*P64)</f>
        <v>360</v>
      </c>
      <c r="R61" s="97"/>
      <c r="S61" s="380">
        <f>R62-(R62*R64)</f>
        <v>360</v>
      </c>
    </row>
    <row r="62" spans="1:20" ht="15" customHeight="1">
      <c r="A62" s="69"/>
      <c r="B62" s="286" t="s">
        <v>256</v>
      </c>
      <c r="C62" s="286"/>
      <c r="D62" s="286"/>
      <c r="E62" s="286"/>
      <c r="F62" s="286"/>
      <c r="G62" s="286"/>
      <c r="H62" s="98">
        <f>'DADOS BÁSICOS LICITAÇÃO'!I8</f>
        <v>450</v>
      </c>
      <c r="I62" s="314"/>
      <c r="J62" s="98">
        <f>'DADOS BÁSICOS LICITAÇÃO'!I9</f>
        <v>450</v>
      </c>
      <c r="K62" s="380"/>
      <c r="L62" s="98">
        <f>'DADOS BÁSICOS LICITAÇÃO'!I10</f>
        <v>450</v>
      </c>
      <c r="M62" s="380"/>
      <c r="N62" s="98">
        <f>'DADOS BÁSICOS LICITAÇÃO'!I11</f>
        <v>450</v>
      </c>
      <c r="O62" s="380"/>
      <c r="P62" s="98">
        <f>'DADOS BÁSICOS LICITAÇÃO'!I12</f>
        <v>450</v>
      </c>
      <c r="Q62" s="380"/>
      <c r="R62" s="98">
        <f>'DADOS BÁSICOS LICITAÇÃO'!I13</f>
        <v>450</v>
      </c>
      <c r="S62" s="380"/>
      <c r="T62" s="3"/>
    </row>
    <row r="63" spans="1:20" ht="15" customHeight="1">
      <c r="A63" s="69"/>
      <c r="B63" s="286" t="s">
        <v>258</v>
      </c>
      <c r="C63" s="286"/>
      <c r="D63" s="286"/>
      <c r="E63" s="286"/>
      <c r="F63" s="286"/>
      <c r="G63" s="286"/>
      <c r="H63" s="100"/>
      <c r="I63" s="314"/>
      <c r="J63" s="100"/>
      <c r="K63" s="380"/>
      <c r="L63" s="100"/>
      <c r="M63" s="380"/>
      <c r="N63" s="100"/>
      <c r="O63" s="380"/>
      <c r="P63" s="100"/>
      <c r="Q63" s="380"/>
      <c r="R63" s="100"/>
      <c r="S63" s="380"/>
      <c r="T63" s="3"/>
    </row>
    <row r="64" spans="1:20" ht="15" customHeight="1">
      <c r="A64" s="69"/>
      <c r="B64" s="286" t="s">
        <v>257</v>
      </c>
      <c r="C64" s="286"/>
      <c r="D64" s="286"/>
      <c r="E64" s="286"/>
      <c r="F64" s="286"/>
      <c r="G64" s="286"/>
      <c r="H64" s="101">
        <f>'DADOS BÁSICOS LICITAÇÃO'!$N8</f>
        <v>0.2</v>
      </c>
      <c r="I64" s="315"/>
      <c r="J64" s="101">
        <f>'DADOS BÁSICOS LICITAÇÃO'!$N9</f>
        <v>0.2</v>
      </c>
      <c r="K64" s="380"/>
      <c r="L64" s="101">
        <f>'DADOS BÁSICOS LICITAÇÃO'!$N10</f>
        <v>0.2</v>
      </c>
      <c r="M64" s="380"/>
      <c r="N64" s="101">
        <f>'DADOS BÁSICOS LICITAÇÃO'!$N11</f>
        <v>0.2</v>
      </c>
      <c r="O64" s="380"/>
      <c r="P64" s="101">
        <f>'DADOS BÁSICOS LICITAÇÃO'!$N12</f>
        <v>0.2</v>
      </c>
      <c r="Q64" s="380"/>
      <c r="R64" s="101">
        <f>'DADOS BÁSICOS LICITAÇÃO'!$N13</f>
        <v>0.2</v>
      </c>
      <c r="S64" s="380"/>
    </row>
    <row r="65" spans="1:19" ht="17.25" customHeight="1">
      <c r="A65" s="69" t="s">
        <v>62</v>
      </c>
      <c r="B65" s="286" t="str">
        <f>'DADOS BÁSICOS LICITAÇÃO'!$J$7</f>
        <v>Auxílio Saúde</v>
      </c>
      <c r="C65" s="286"/>
      <c r="D65" s="286"/>
      <c r="E65" s="286"/>
      <c r="F65" s="286"/>
      <c r="G65" s="286"/>
      <c r="H65" s="102"/>
      <c r="I65" s="57">
        <f>'DADOS BÁSICOS LICITAÇÃO'!$J$8</f>
        <v>64</v>
      </c>
      <c r="J65" s="102"/>
      <c r="K65" s="57">
        <f>'DADOS BÁSICOS LICITAÇÃO'!$J$9</f>
        <v>64</v>
      </c>
      <c r="L65" s="102"/>
      <c r="M65" s="57">
        <f>'DADOS BÁSICOS LICITAÇÃO'!$J$9</f>
        <v>64</v>
      </c>
      <c r="N65" s="102"/>
      <c r="O65" s="57">
        <f>'DADOS BÁSICOS LICITAÇÃO'!$J$9</f>
        <v>64</v>
      </c>
      <c r="P65" s="102"/>
      <c r="Q65" s="57">
        <f>'DADOS BÁSICOS LICITAÇÃO'!$J$9</f>
        <v>64</v>
      </c>
      <c r="R65" s="102"/>
      <c r="S65" s="57">
        <f>'DADOS BÁSICOS LICITAÇÃO'!$J$9</f>
        <v>64</v>
      </c>
    </row>
    <row r="66" spans="1:19" ht="16" customHeight="1">
      <c r="A66" s="69" t="s">
        <v>64</v>
      </c>
      <c r="B66" s="286" t="str">
        <f>'DADOS BÁSICOS LICITAÇÃO'!$K$7</f>
        <v>Benefício Familiar</v>
      </c>
      <c r="C66" s="286"/>
      <c r="D66" s="286"/>
      <c r="E66" s="286"/>
      <c r="F66" s="286"/>
      <c r="G66" s="286"/>
      <c r="H66" s="103"/>
      <c r="I66" s="104">
        <f>'DADOS BÁSICOS LICITAÇÃO'!$K$8</f>
        <v>21</v>
      </c>
      <c r="J66" s="103"/>
      <c r="K66" s="104">
        <f>'DADOS BÁSICOS LICITAÇÃO'!$K$9</f>
        <v>21</v>
      </c>
      <c r="L66" s="103"/>
      <c r="M66" s="104">
        <f>'DADOS BÁSICOS LICITAÇÃO'!$K$9</f>
        <v>21</v>
      </c>
      <c r="N66" s="103"/>
      <c r="O66" s="104">
        <f>'DADOS BÁSICOS LICITAÇÃO'!$K$9</f>
        <v>21</v>
      </c>
      <c r="P66" s="103"/>
      <c r="Q66" s="104">
        <f>'DADOS BÁSICOS LICITAÇÃO'!$K$9</f>
        <v>21</v>
      </c>
      <c r="R66" s="103"/>
      <c r="S66" s="104">
        <f>'DADOS BÁSICOS LICITAÇÃO'!$K$9</f>
        <v>21</v>
      </c>
    </row>
    <row r="67" spans="1:19" ht="15" customHeight="1">
      <c r="A67" s="69" t="s">
        <v>66</v>
      </c>
      <c r="B67" s="286" t="str">
        <f>'DADOS BÁSICOS LICITAÇÃO'!$L$7</f>
        <v>Fundo de Fomação Profissional</v>
      </c>
      <c r="C67" s="286"/>
      <c r="D67" s="286"/>
      <c r="E67" s="286"/>
      <c r="F67" s="286"/>
      <c r="G67" s="286"/>
      <c r="H67" s="102"/>
      <c r="I67" s="104">
        <f>'DADOS BÁSICOS LICITAÇÃO'!$L$8</f>
        <v>21</v>
      </c>
      <c r="J67" s="102"/>
      <c r="K67" s="104">
        <f>'DADOS BÁSICOS LICITAÇÃO'!$L$9</f>
        <v>21</v>
      </c>
      <c r="L67" s="102"/>
      <c r="M67" s="104">
        <f>'DADOS BÁSICOS LICITAÇÃO'!$L$9</f>
        <v>21</v>
      </c>
      <c r="N67" s="102"/>
      <c r="O67" s="104">
        <f>'DADOS BÁSICOS LICITAÇÃO'!$L$9</f>
        <v>21</v>
      </c>
      <c r="P67" s="102"/>
      <c r="Q67" s="104">
        <f>'DADOS BÁSICOS LICITAÇÃO'!$L$9</f>
        <v>21</v>
      </c>
      <c r="R67" s="102"/>
      <c r="S67" s="104">
        <f>'DADOS BÁSICOS LICITAÇÃO'!$L$9</f>
        <v>21</v>
      </c>
    </row>
    <row r="68" spans="1:19" ht="18" customHeight="1">
      <c r="A68" s="72" t="s">
        <v>84</v>
      </c>
      <c r="B68" s="312" t="s">
        <v>200</v>
      </c>
      <c r="C68" s="312"/>
      <c r="D68" s="312"/>
      <c r="E68" s="312"/>
      <c r="F68" s="312"/>
      <c r="G68" s="312"/>
      <c r="H68" s="105">
        <f>1/12</f>
        <v>8.3299999999999999E-2</v>
      </c>
      <c r="I68" s="106">
        <f>I61*H68</f>
        <v>29.99</v>
      </c>
      <c r="J68" s="105">
        <f t="shared" ref="J68" si="49">1/12</f>
        <v>8.3299999999999999E-2</v>
      </c>
      <c r="K68" s="106">
        <f t="shared" ref="K68" si="50">K61*J68</f>
        <v>29.99</v>
      </c>
      <c r="L68" s="105">
        <f t="shared" ref="L68" si="51">1/12</f>
        <v>8.3299999999999999E-2</v>
      </c>
      <c r="M68" s="106">
        <f t="shared" ref="M68" si="52">M61*L68</f>
        <v>29.99</v>
      </c>
      <c r="N68" s="105">
        <f t="shared" ref="N68" si="53">1/12</f>
        <v>8.3299999999999999E-2</v>
      </c>
      <c r="O68" s="106">
        <f t="shared" ref="O68" si="54">O61*N68</f>
        <v>29.99</v>
      </c>
      <c r="P68" s="105">
        <f t="shared" ref="P68" si="55">1/12</f>
        <v>8.3299999999999999E-2</v>
      </c>
      <c r="Q68" s="106">
        <f t="shared" ref="Q68" si="56">Q61*P68</f>
        <v>29.99</v>
      </c>
      <c r="R68" s="105">
        <f t="shared" ref="R68" si="57">1/12</f>
        <v>8.3299999999999999E-2</v>
      </c>
      <c r="S68" s="106">
        <f t="shared" ref="S68" si="58">S61*R68</f>
        <v>29.99</v>
      </c>
    </row>
    <row r="69" spans="1:19" ht="18" customHeight="1">
      <c r="A69" s="72" t="s">
        <v>268</v>
      </c>
      <c r="B69" s="312" t="s">
        <v>269</v>
      </c>
      <c r="C69" s="312"/>
      <c r="D69" s="312"/>
      <c r="E69" s="312"/>
      <c r="F69" s="312"/>
      <c r="G69" s="312"/>
      <c r="H69" s="105">
        <v>0</v>
      </c>
      <c r="I69" s="107">
        <f>I61*H69</f>
        <v>0</v>
      </c>
      <c r="J69" s="105">
        <v>0</v>
      </c>
      <c r="K69" s="107">
        <f t="shared" ref="K69" si="59">K61*J69</f>
        <v>0</v>
      </c>
      <c r="L69" s="105">
        <v>0</v>
      </c>
      <c r="M69" s="107">
        <f t="shared" ref="M69" si="60">M61*L69</f>
        <v>0</v>
      </c>
      <c r="N69" s="105">
        <v>0</v>
      </c>
      <c r="O69" s="107">
        <f t="shared" ref="O69" si="61">O61*N69</f>
        <v>0</v>
      </c>
      <c r="P69" s="105">
        <v>0</v>
      </c>
      <c r="Q69" s="107">
        <f t="shared" ref="Q69" si="62">Q61*P69</f>
        <v>0</v>
      </c>
      <c r="R69" s="105">
        <v>0</v>
      </c>
      <c r="S69" s="107">
        <f t="shared" ref="S69" si="63">S61*R69</f>
        <v>0</v>
      </c>
    </row>
    <row r="70" spans="1:19" ht="18" customHeight="1">
      <c r="A70" s="108" t="s">
        <v>110</v>
      </c>
      <c r="B70" s="297" t="s">
        <v>201</v>
      </c>
      <c r="C70" s="297"/>
      <c r="D70" s="297"/>
      <c r="E70" s="297"/>
      <c r="F70" s="297"/>
      <c r="G70" s="297"/>
      <c r="H70" s="109">
        <v>0</v>
      </c>
      <c r="I70" s="225">
        <f>I61*H70</f>
        <v>0</v>
      </c>
      <c r="J70" s="109">
        <v>0</v>
      </c>
      <c r="K70" s="225">
        <f t="shared" ref="K70" si="64">K61*J70</f>
        <v>0</v>
      </c>
      <c r="L70" s="109">
        <v>0</v>
      </c>
      <c r="M70" s="225">
        <f t="shared" ref="M70" si="65">M61*L70</f>
        <v>0</v>
      </c>
      <c r="N70" s="109">
        <v>0</v>
      </c>
      <c r="O70" s="225">
        <f t="shared" ref="O70" si="66">O61*N70</f>
        <v>0</v>
      </c>
      <c r="P70" s="109">
        <v>0</v>
      </c>
      <c r="Q70" s="225">
        <f t="shared" ref="Q70" si="67">Q61*P70</f>
        <v>0</v>
      </c>
      <c r="R70" s="109">
        <v>0</v>
      </c>
      <c r="S70" s="225">
        <f t="shared" ref="S70" si="68">S61*R70</f>
        <v>0</v>
      </c>
    </row>
    <row r="71" spans="1:19" ht="18" customHeight="1">
      <c r="A71" s="76" t="s">
        <v>111</v>
      </c>
      <c r="B71" s="310" t="s">
        <v>202</v>
      </c>
      <c r="C71" s="310"/>
      <c r="D71" s="310"/>
      <c r="E71" s="310"/>
      <c r="F71" s="310"/>
      <c r="G71" s="310"/>
      <c r="H71" s="111">
        <v>0</v>
      </c>
      <c r="I71" s="226">
        <f>I65*H71</f>
        <v>0</v>
      </c>
      <c r="J71" s="111">
        <v>0</v>
      </c>
      <c r="K71" s="226">
        <f t="shared" ref="K71" si="69">K65*J71</f>
        <v>0</v>
      </c>
      <c r="L71" s="111">
        <v>0</v>
      </c>
      <c r="M71" s="226">
        <f t="shared" ref="M71" si="70">M65*L71</f>
        <v>0</v>
      </c>
      <c r="N71" s="111">
        <v>0</v>
      </c>
      <c r="O71" s="226">
        <f t="shared" ref="O71" si="71">O65*N71</f>
        <v>0</v>
      </c>
      <c r="P71" s="111">
        <v>0</v>
      </c>
      <c r="Q71" s="226">
        <f t="shared" ref="Q71" si="72">Q65*P71</f>
        <v>0</v>
      </c>
      <c r="R71" s="111">
        <v>0</v>
      </c>
      <c r="S71" s="226">
        <f>S65*R71</f>
        <v>0</v>
      </c>
    </row>
    <row r="72" spans="1:19" ht="18" customHeight="1">
      <c r="A72" s="76" t="s">
        <v>198</v>
      </c>
      <c r="B72" s="310" t="s">
        <v>203</v>
      </c>
      <c r="C72" s="310"/>
      <c r="D72" s="310"/>
      <c r="E72" s="310"/>
      <c r="F72" s="310"/>
      <c r="G72" s="310"/>
      <c r="H72" s="111">
        <v>0</v>
      </c>
      <c r="I72" s="227">
        <f>I66*H72</f>
        <v>0</v>
      </c>
      <c r="J72" s="111">
        <v>0</v>
      </c>
      <c r="K72" s="227">
        <f t="shared" ref="K72" si="73">K66*J72</f>
        <v>0</v>
      </c>
      <c r="L72" s="111">
        <v>0</v>
      </c>
      <c r="M72" s="227">
        <f t="shared" ref="M72" si="74">M66*L72</f>
        <v>0</v>
      </c>
      <c r="N72" s="111">
        <v>0</v>
      </c>
      <c r="O72" s="227">
        <f t="shared" ref="O72" si="75">O66*N72</f>
        <v>0</v>
      </c>
      <c r="P72" s="111">
        <v>0</v>
      </c>
      <c r="Q72" s="227">
        <f t="shared" ref="Q72" si="76">Q66*P72</f>
        <v>0</v>
      </c>
      <c r="R72" s="111">
        <v>0</v>
      </c>
      <c r="S72" s="227">
        <f>S66*R72</f>
        <v>0</v>
      </c>
    </row>
    <row r="73" spans="1:19" ht="18" customHeight="1">
      <c r="A73" s="76" t="s">
        <v>199</v>
      </c>
      <c r="B73" s="310" t="s">
        <v>204</v>
      </c>
      <c r="C73" s="310"/>
      <c r="D73" s="310"/>
      <c r="E73" s="310"/>
      <c r="F73" s="310"/>
      <c r="G73" s="310"/>
      <c r="H73" s="111">
        <v>0</v>
      </c>
      <c r="I73" s="227">
        <f>I67*H73</f>
        <v>0</v>
      </c>
      <c r="J73" s="111">
        <v>0</v>
      </c>
      <c r="K73" s="227">
        <f t="shared" ref="K73" si="77">K67*J73</f>
        <v>0</v>
      </c>
      <c r="L73" s="111">
        <v>0</v>
      </c>
      <c r="M73" s="227">
        <f t="shared" ref="M73" si="78">M67*L73</f>
        <v>0</v>
      </c>
      <c r="N73" s="111">
        <v>0</v>
      </c>
      <c r="O73" s="227">
        <f t="shared" ref="O73" si="79">O67*N73</f>
        <v>0</v>
      </c>
      <c r="P73" s="111">
        <v>0</v>
      </c>
      <c r="Q73" s="227">
        <f t="shared" ref="Q73" si="80">Q67*P73</f>
        <v>0</v>
      </c>
      <c r="R73" s="111">
        <v>0</v>
      </c>
      <c r="S73" s="227">
        <f>S67*R73</f>
        <v>0</v>
      </c>
    </row>
    <row r="74" spans="1:19" ht="19.5" customHeight="1">
      <c r="A74" s="287" t="s">
        <v>85</v>
      </c>
      <c r="B74" s="287"/>
      <c r="C74" s="287"/>
      <c r="D74" s="287"/>
      <c r="E74" s="287"/>
      <c r="F74" s="287"/>
      <c r="G74" s="287"/>
      <c r="H74" s="113"/>
      <c r="I74" s="80">
        <f>SUM(I57:I73)</f>
        <v>611.26</v>
      </c>
      <c r="J74" s="113"/>
      <c r="K74" s="80">
        <f>SUM(K57:K73)</f>
        <v>562.86</v>
      </c>
      <c r="L74" s="113"/>
      <c r="M74" s="80">
        <f>SUM(M57:M73)</f>
        <v>600.26</v>
      </c>
      <c r="N74" s="113"/>
      <c r="O74" s="80">
        <f>SUM(O57:O73)</f>
        <v>602.46</v>
      </c>
      <c r="P74" s="113"/>
      <c r="Q74" s="80">
        <f>SUM(Q57:Q73)</f>
        <v>576.05999999999995</v>
      </c>
      <c r="R74" s="113"/>
      <c r="S74" s="80">
        <f>SUM(S57:S73)</f>
        <v>602.46</v>
      </c>
    </row>
    <row r="75" spans="1:19" ht="30.75" customHeight="1">
      <c r="A75" s="37" t="s">
        <v>120</v>
      </c>
      <c r="B75" s="63"/>
      <c r="C75" s="63"/>
      <c r="D75" s="63"/>
      <c r="E75" s="63"/>
      <c r="F75" s="63"/>
      <c r="G75" s="63"/>
      <c r="H75" s="64"/>
      <c r="I75" s="65"/>
      <c r="J75" s="64"/>
      <c r="K75" s="65"/>
      <c r="L75" s="64"/>
      <c r="M75" s="65"/>
      <c r="N75" s="64"/>
      <c r="O75" s="65"/>
      <c r="P75" s="64"/>
      <c r="Q75" s="65"/>
      <c r="R75" s="64"/>
      <c r="S75" s="65"/>
    </row>
    <row r="76" spans="1:19" ht="20.25" customHeight="1">
      <c r="A76" s="114">
        <v>2</v>
      </c>
      <c r="B76" s="311" t="s">
        <v>121</v>
      </c>
      <c r="C76" s="311"/>
      <c r="D76" s="311"/>
      <c r="E76" s="311"/>
      <c r="F76" s="311"/>
      <c r="G76" s="311"/>
      <c r="H76" s="115"/>
      <c r="I76" s="116" t="s">
        <v>79</v>
      </c>
      <c r="J76" s="115"/>
      <c r="K76" s="116" t="s">
        <v>79</v>
      </c>
      <c r="L76" s="115"/>
      <c r="M76" s="116" t="s">
        <v>79</v>
      </c>
      <c r="N76" s="115"/>
      <c r="O76" s="116" t="s">
        <v>79</v>
      </c>
      <c r="P76" s="115"/>
      <c r="Q76" s="116" t="s">
        <v>79</v>
      </c>
      <c r="R76" s="115"/>
      <c r="S76" s="116" t="s">
        <v>79</v>
      </c>
    </row>
    <row r="77" spans="1:19" ht="12.75" customHeight="1">
      <c r="A77" s="69" t="s">
        <v>87</v>
      </c>
      <c r="B77" s="286" t="s">
        <v>88</v>
      </c>
      <c r="C77" s="286"/>
      <c r="D77" s="286"/>
      <c r="E77" s="286"/>
      <c r="F77" s="286"/>
      <c r="G77" s="286"/>
      <c r="H77" s="48"/>
      <c r="I77" s="71">
        <f>I40</f>
        <v>351.18</v>
      </c>
      <c r="J77" s="48"/>
      <c r="K77" s="71">
        <f>K40</f>
        <v>351.18</v>
      </c>
      <c r="L77" s="48"/>
      <c r="M77" s="71">
        <f>M40</f>
        <v>351.18</v>
      </c>
      <c r="N77" s="48"/>
      <c r="O77" s="71">
        <f>O40</f>
        <v>351.18</v>
      </c>
      <c r="P77" s="48"/>
      <c r="Q77" s="71">
        <f>Q40</f>
        <v>351.18</v>
      </c>
      <c r="R77" s="48"/>
      <c r="S77" s="71">
        <f>S40</f>
        <v>351.18</v>
      </c>
    </row>
    <row r="78" spans="1:19" ht="12.75" customHeight="1">
      <c r="A78" s="69" t="s">
        <v>106</v>
      </c>
      <c r="B78" s="286" t="s">
        <v>107</v>
      </c>
      <c r="C78" s="286"/>
      <c r="D78" s="286"/>
      <c r="E78" s="286"/>
      <c r="F78" s="286"/>
      <c r="G78" s="286"/>
      <c r="H78" s="48"/>
      <c r="I78" s="71">
        <f>I54</f>
        <v>794.05</v>
      </c>
      <c r="J78" s="48"/>
      <c r="K78" s="71">
        <f>K54</f>
        <v>794.05</v>
      </c>
      <c r="L78" s="48"/>
      <c r="M78" s="71">
        <f>M54</f>
        <v>794.05</v>
      </c>
      <c r="N78" s="48"/>
      <c r="O78" s="71">
        <f>O54</f>
        <v>794.05</v>
      </c>
      <c r="P78" s="48"/>
      <c r="Q78" s="71">
        <f>Q54</f>
        <v>794.05</v>
      </c>
      <c r="R78" s="48"/>
      <c r="S78" s="71">
        <f>S54</f>
        <v>794.05</v>
      </c>
    </row>
    <row r="79" spans="1:19" ht="12.75" customHeight="1">
      <c r="A79" s="69" t="s">
        <v>113</v>
      </c>
      <c r="B79" s="286" t="s">
        <v>114</v>
      </c>
      <c r="C79" s="286"/>
      <c r="D79" s="286"/>
      <c r="E79" s="286"/>
      <c r="F79" s="286"/>
      <c r="G79" s="286"/>
      <c r="H79" s="48"/>
      <c r="I79" s="71">
        <f>I74</f>
        <v>611.26</v>
      </c>
      <c r="J79" s="48"/>
      <c r="K79" s="71">
        <f>K74</f>
        <v>562.86</v>
      </c>
      <c r="L79" s="48"/>
      <c r="M79" s="71">
        <f>M74</f>
        <v>600.26</v>
      </c>
      <c r="N79" s="48"/>
      <c r="O79" s="71">
        <f>O74</f>
        <v>602.46</v>
      </c>
      <c r="P79" s="48"/>
      <c r="Q79" s="71">
        <f>Q74</f>
        <v>576.05999999999995</v>
      </c>
      <c r="R79" s="48"/>
      <c r="S79" s="71">
        <f>S74</f>
        <v>602.46</v>
      </c>
    </row>
    <row r="80" spans="1:19">
      <c r="A80" s="304" t="s">
        <v>85</v>
      </c>
      <c r="B80" s="304"/>
      <c r="C80" s="304"/>
      <c r="D80" s="304"/>
      <c r="E80" s="304"/>
      <c r="F80" s="304"/>
      <c r="G80" s="304"/>
      <c r="H80" s="117"/>
      <c r="I80" s="82">
        <f>SUM(I77:I79)</f>
        <v>1756.49</v>
      </c>
      <c r="J80" s="117"/>
      <c r="K80" s="82">
        <f>SUM(K77:K79)</f>
        <v>1708.09</v>
      </c>
      <c r="L80" s="117"/>
      <c r="M80" s="82">
        <f>SUM(M77:M79)</f>
        <v>1745.49</v>
      </c>
      <c r="N80" s="117"/>
      <c r="O80" s="82">
        <f>SUM(O77:O79)</f>
        <v>1747.69</v>
      </c>
      <c r="P80" s="117"/>
      <c r="Q80" s="82">
        <f>SUM(Q77:Q79)</f>
        <v>1721.29</v>
      </c>
      <c r="R80" s="117"/>
      <c r="S80" s="82">
        <f>SUM(S77:S79)</f>
        <v>1747.69</v>
      </c>
    </row>
    <row r="81" spans="1:19" ht="26.25" customHeight="1">
      <c r="A81" s="37" t="s">
        <v>122</v>
      </c>
      <c r="B81" s="118"/>
      <c r="C81" s="118"/>
      <c r="D81" s="118"/>
      <c r="E81" s="118"/>
      <c r="F81" s="118"/>
      <c r="G81" s="118"/>
      <c r="H81" s="64"/>
      <c r="I81" s="65"/>
      <c r="J81" s="64"/>
      <c r="K81" s="65"/>
      <c r="L81" s="64"/>
      <c r="M81" s="65"/>
      <c r="N81" s="64"/>
      <c r="O81" s="65"/>
      <c r="P81" s="64"/>
      <c r="Q81" s="65"/>
      <c r="R81" s="64"/>
      <c r="S81" s="65"/>
    </row>
    <row r="82" spans="1:19" ht="26.25" customHeight="1">
      <c r="A82" s="119">
        <v>3</v>
      </c>
      <c r="B82" s="305" t="s">
        <v>123</v>
      </c>
      <c r="C82" s="305"/>
      <c r="D82" s="305"/>
      <c r="E82" s="305"/>
      <c r="F82" s="305"/>
      <c r="G82" s="305"/>
      <c r="H82" s="120" t="s">
        <v>89</v>
      </c>
      <c r="I82" s="47" t="s">
        <v>79</v>
      </c>
      <c r="J82" s="46" t="s">
        <v>89</v>
      </c>
      <c r="K82" s="47" t="s">
        <v>79</v>
      </c>
      <c r="L82" s="46" t="s">
        <v>89</v>
      </c>
      <c r="M82" s="47" t="s">
        <v>79</v>
      </c>
      <c r="N82" s="46" t="s">
        <v>89</v>
      </c>
      <c r="O82" s="47" t="s">
        <v>79</v>
      </c>
      <c r="P82" s="46" t="s">
        <v>89</v>
      </c>
      <c r="Q82" s="47" t="s">
        <v>79</v>
      </c>
      <c r="R82" s="46" t="s">
        <v>89</v>
      </c>
      <c r="S82" s="47" t="s">
        <v>79</v>
      </c>
    </row>
    <row r="83" spans="1:19" ht="16.5" customHeight="1">
      <c r="A83" s="121" t="s">
        <v>58</v>
      </c>
      <c r="B83" s="306" t="s">
        <v>124</v>
      </c>
      <c r="C83" s="307"/>
      <c r="D83" s="307"/>
      <c r="E83" s="307"/>
      <c r="F83" s="307"/>
      <c r="G83" s="308"/>
      <c r="H83" s="122">
        <f>(100%/12)*'DADOS BÁSICOS LICITAÇÃO'!$Q8</f>
        <v>2.81E-2</v>
      </c>
      <c r="I83" s="123">
        <f>H83*I$43</f>
        <v>60.63</v>
      </c>
      <c r="J83" s="122">
        <f>(100%/12)*'DADOS BÁSICOS LICITAÇÃO'!$Q8</f>
        <v>2.81E-2</v>
      </c>
      <c r="K83" s="123">
        <f t="shared" ref="K83" si="81">J83*K$43</f>
        <v>60.63</v>
      </c>
      <c r="L83" s="122">
        <f>(100%/12)*'DADOS BÁSICOS LICITAÇÃO'!$Q8</f>
        <v>2.81E-2</v>
      </c>
      <c r="M83" s="123">
        <f t="shared" ref="M83" si="82">L83*M$43</f>
        <v>60.63</v>
      </c>
      <c r="N83" s="122">
        <f>(100%/12)*'DADOS BÁSICOS LICITAÇÃO'!$Q8</f>
        <v>2.81E-2</v>
      </c>
      <c r="O83" s="123">
        <f t="shared" ref="O83" si="83">N83*O$43</f>
        <v>60.63</v>
      </c>
      <c r="P83" s="122">
        <f>(100%/12)*'DADOS BÁSICOS LICITAÇÃO'!$Q8</f>
        <v>2.81E-2</v>
      </c>
      <c r="Q83" s="123">
        <f t="shared" ref="Q83" si="84">P83*Q$43</f>
        <v>60.63</v>
      </c>
      <c r="R83" s="122">
        <f>(100%/12)*'DADOS BÁSICOS LICITAÇÃO'!$Q8</f>
        <v>2.81E-2</v>
      </c>
      <c r="S83" s="123">
        <f t="shared" ref="S83" si="85">R83*S$43</f>
        <v>60.63</v>
      </c>
    </row>
    <row r="84" spans="1:19">
      <c r="A84" s="69" t="s">
        <v>60</v>
      </c>
      <c r="B84" s="294" t="s">
        <v>125</v>
      </c>
      <c r="C84" s="294"/>
      <c r="D84" s="294"/>
      <c r="E84" s="294"/>
      <c r="F84" s="294"/>
      <c r="G84" s="294"/>
      <c r="H84" s="124">
        <v>0.08</v>
      </c>
      <c r="I84" s="125">
        <f>I83*H84</f>
        <v>4.8499999999999996</v>
      </c>
      <c r="J84" s="124">
        <v>0.08</v>
      </c>
      <c r="K84" s="125">
        <f t="shared" ref="K84" si="86">K83*J84</f>
        <v>4.8499999999999996</v>
      </c>
      <c r="L84" s="124">
        <v>0.08</v>
      </c>
      <c r="M84" s="125">
        <f t="shared" ref="M84" si="87">M83*L84</f>
        <v>4.8499999999999996</v>
      </c>
      <c r="N84" s="124">
        <v>0.08</v>
      </c>
      <c r="O84" s="125">
        <f t="shared" ref="O84" si="88">O83*N84</f>
        <v>4.8499999999999996</v>
      </c>
      <c r="P84" s="124">
        <v>0.08</v>
      </c>
      <c r="Q84" s="125">
        <f t="shared" ref="Q84" si="89">Q83*P84</f>
        <v>4.8499999999999996</v>
      </c>
      <c r="R84" s="124">
        <v>0.08</v>
      </c>
      <c r="S84" s="125">
        <f t="shared" ref="S84" si="90">S83*R84</f>
        <v>4.8499999999999996</v>
      </c>
    </row>
    <row r="85" spans="1:19" ht="12.75" customHeight="1">
      <c r="A85" s="126" t="s">
        <v>62</v>
      </c>
      <c r="B85" s="302" t="s">
        <v>126</v>
      </c>
      <c r="C85" s="303"/>
      <c r="D85" s="303"/>
      <c r="E85" s="303"/>
      <c r="F85" s="303"/>
      <c r="G85" s="284"/>
      <c r="H85" s="127">
        <f>8%*40%*'DADOS BÁSICOS LICITAÇÃO'!$Q8</f>
        <v>1.0800000000000001E-2</v>
      </c>
      <c r="I85" s="125">
        <f>I$43*H85</f>
        <v>23.3</v>
      </c>
      <c r="J85" s="127">
        <f>8%*40%*'DADOS BÁSICOS LICITAÇÃO'!$Q8</f>
        <v>1.0800000000000001E-2</v>
      </c>
      <c r="K85" s="125">
        <f t="shared" ref="K85" si="91">K$43*J85</f>
        <v>23.3</v>
      </c>
      <c r="L85" s="127">
        <f>8%*40%*'DADOS BÁSICOS LICITAÇÃO'!$Q8</f>
        <v>1.0800000000000001E-2</v>
      </c>
      <c r="M85" s="125">
        <f t="shared" ref="M85" si="92">M$43*L85</f>
        <v>23.3</v>
      </c>
      <c r="N85" s="127">
        <f>8%*40%*'DADOS BÁSICOS LICITAÇÃO'!$Q8</f>
        <v>1.0800000000000001E-2</v>
      </c>
      <c r="O85" s="125">
        <f t="shared" ref="O85" si="93">O$43*N85</f>
        <v>23.3</v>
      </c>
      <c r="P85" s="127">
        <f>8%*40%*'DADOS BÁSICOS LICITAÇÃO'!$Q8</f>
        <v>1.0800000000000001E-2</v>
      </c>
      <c r="Q85" s="125">
        <f t="shared" ref="Q85" si="94">Q$43*P85</f>
        <v>23.3</v>
      </c>
      <c r="R85" s="127">
        <f>8%*40%*'DADOS BÁSICOS LICITAÇÃO'!$Q8</f>
        <v>1.0800000000000001E-2</v>
      </c>
      <c r="S85" s="125">
        <f t="shared" ref="S85" si="95">S$43*R85</f>
        <v>23.3</v>
      </c>
    </row>
    <row r="86" spans="1:19" ht="17.25" customHeight="1">
      <c r="A86" s="128" t="s">
        <v>64</v>
      </c>
      <c r="B86" s="309" t="s">
        <v>127</v>
      </c>
      <c r="C86" s="309"/>
      <c r="D86" s="309"/>
      <c r="E86" s="309"/>
      <c r="F86" s="309"/>
      <c r="G86" s="309"/>
      <c r="H86" s="129">
        <f>(7/30)/12</f>
        <v>1.9400000000000001E-2</v>
      </c>
      <c r="I86" s="130">
        <f>H86*I$43</f>
        <v>41.86</v>
      </c>
      <c r="J86" s="129">
        <f t="shared" ref="J86" si="96">(7/30)/12</f>
        <v>1.9400000000000001E-2</v>
      </c>
      <c r="K86" s="130">
        <f t="shared" ref="K86" si="97">J86*K$43</f>
        <v>41.86</v>
      </c>
      <c r="L86" s="129">
        <f t="shared" ref="L86" si="98">(7/30)/12</f>
        <v>1.9400000000000001E-2</v>
      </c>
      <c r="M86" s="130">
        <f t="shared" ref="M86" si="99">L86*M$43</f>
        <v>41.86</v>
      </c>
      <c r="N86" s="129">
        <f t="shared" ref="N86" si="100">(7/30)/12</f>
        <v>1.9400000000000001E-2</v>
      </c>
      <c r="O86" s="130">
        <f t="shared" ref="O86" si="101">N86*O$43</f>
        <v>41.86</v>
      </c>
      <c r="P86" s="129">
        <f t="shared" ref="P86" si="102">(7/30)/12</f>
        <v>1.9400000000000001E-2</v>
      </c>
      <c r="Q86" s="130">
        <f t="shared" ref="Q86" si="103">P86*Q$43</f>
        <v>41.86</v>
      </c>
      <c r="R86" s="129">
        <f t="shared" ref="R86" si="104">(7/30)/12</f>
        <v>1.9400000000000001E-2</v>
      </c>
      <c r="S86" s="130">
        <f t="shared" ref="S86" si="105">R86*S$43</f>
        <v>41.86</v>
      </c>
    </row>
    <row r="87" spans="1:19">
      <c r="A87" s="69" t="s">
        <v>66</v>
      </c>
      <c r="B87" s="294" t="s">
        <v>128</v>
      </c>
      <c r="C87" s="294"/>
      <c r="D87" s="294"/>
      <c r="E87" s="294"/>
      <c r="F87" s="294"/>
      <c r="G87" s="294"/>
      <c r="H87" s="124">
        <f>H54</f>
        <v>0.36799999999999999</v>
      </c>
      <c r="I87" s="131">
        <f>H87*I86</f>
        <v>15.4</v>
      </c>
      <c r="J87" s="124">
        <f t="shared" ref="J87" si="106">J54</f>
        <v>0.36799999999999999</v>
      </c>
      <c r="K87" s="131">
        <f t="shared" ref="K87" si="107">J87*K86</f>
        <v>15.4</v>
      </c>
      <c r="L87" s="124">
        <f t="shared" ref="L87" si="108">L54</f>
        <v>0.36799999999999999</v>
      </c>
      <c r="M87" s="131">
        <f t="shared" ref="M87" si="109">L87*M86</f>
        <v>15.4</v>
      </c>
      <c r="N87" s="124">
        <f t="shared" ref="N87" si="110">N54</f>
        <v>0.36799999999999999</v>
      </c>
      <c r="O87" s="131">
        <f t="shared" ref="O87" si="111">N87*O86</f>
        <v>15.4</v>
      </c>
      <c r="P87" s="124">
        <f t="shared" ref="P87" si="112">P54</f>
        <v>0.36799999999999999</v>
      </c>
      <c r="Q87" s="131">
        <f t="shared" ref="Q87" si="113">P87*Q86</f>
        <v>15.4</v>
      </c>
      <c r="R87" s="124">
        <f t="shared" ref="R87" si="114">R54</f>
        <v>0.36799999999999999</v>
      </c>
      <c r="S87" s="131">
        <f t="shared" ref="S87" si="115">R87*S86</f>
        <v>15.4</v>
      </c>
    </row>
    <row r="88" spans="1:19" ht="12.75" customHeight="1">
      <c r="A88" s="126" t="s">
        <v>84</v>
      </c>
      <c r="B88" s="302" t="s">
        <v>129</v>
      </c>
      <c r="C88" s="303"/>
      <c r="D88" s="303"/>
      <c r="E88" s="303"/>
      <c r="F88" s="303"/>
      <c r="G88" s="284"/>
      <c r="H88" s="127">
        <f>8%*40%*'DADOS BÁSICOS LICITAÇÃO'!$R8</f>
        <v>1.0800000000000001E-2</v>
      </c>
      <c r="I88" s="125">
        <f>I43*H88</f>
        <v>23.3</v>
      </c>
      <c r="J88" s="127">
        <f>8%*40%*'DADOS BÁSICOS LICITAÇÃO'!$R8</f>
        <v>1.0800000000000001E-2</v>
      </c>
      <c r="K88" s="125">
        <f t="shared" ref="K88" si="116">K43*J88</f>
        <v>23.3</v>
      </c>
      <c r="L88" s="127">
        <f>8%*40%*'DADOS BÁSICOS LICITAÇÃO'!$R8</f>
        <v>1.0800000000000001E-2</v>
      </c>
      <c r="M88" s="125">
        <f t="shared" ref="M88" si="117">M43*L88</f>
        <v>23.3</v>
      </c>
      <c r="N88" s="127">
        <f>8%*40%*'DADOS BÁSICOS LICITAÇÃO'!$R8</f>
        <v>1.0800000000000001E-2</v>
      </c>
      <c r="O88" s="125">
        <f t="shared" ref="O88" si="118">O43*N88</f>
        <v>23.3</v>
      </c>
      <c r="P88" s="127">
        <f>8%*40%*'DADOS BÁSICOS LICITAÇÃO'!$R8</f>
        <v>1.0800000000000001E-2</v>
      </c>
      <c r="Q88" s="125">
        <f t="shared" ref="Q88" si="119">Q43*P88</f>
        <v>23.3</v>
      </c>
      <c r="R88" s="127">
        <f>8%*40%*'DADOS BÁSICOS LICITAÇÃO'!$R8</f>
        <v>1.0800000000000001E-2</v>
      </c>
      <c r="S88" s="125">
        <f t="shared" ref="S88" si="120">S43*R88</f>
        <v>23.3</v>
      </c>
    </row>
    <row r="89" spans="1:19">
      <c r="A89" s="287" t="s">
        <v>85</v>
      </c>
      <c r="B89" s="287"/>
      <c r="C89" s="287"/>
      <c r="D89" s="287"/>
      <c r="E89" s="287"/>
      <c r="F89" s="287"/>
      <c r="G89" s="287"/>
      <c r="H89" s="113"/>
      <c r="I89" s="80">
        <f>SUM(I83:I88)</f>
        <v>169.34</v>
      </c>
      <c r="J89" s="113"/>
      <c r="K89" s="80">
        <f>SUM(K83:K88)</f>
        <v>169.34</v>
      </c>
      <c r="L89" s="113"/>
      <c r="M89" s="80">
        <f>SUM(M83:M88)</f>
        <v>169.34</v>
      </c>
      <c r="N89" s="113"/>
      <c r="O89" s="80">
        <f>SUM(O83:O88)</f>
        <v>169.34</v>
      </c>
      <c r="P89" s="113"/>
      <c r="Q89" s="80">
        <f>SUM(Q83:Q88)</f>
        <v>169.34</v>
      </c>
      <c r="R89" s="113"/>
      <c r="S89" s="80">
        <f>SUM(S83:S88)</f>
        <v>169.34</v>
      </c>
    </row>
    <row r="90" spans="1:19">
      <c r="A90" s="304" t="s">
        <v>130</v>
      </c>
      <c r="B90" s="304"/>
      <c r="C90" s="304"/>
      <c r="D90" s="304"/>
      <c r="E90" s="304"/>
      <c r="F90" s="304"/>
      <c r="G90" s="304"/>
      <c r="H90" s="132" t="s">
        <v>93</v>
      </c>
      <c r="I90" s="133">
        <f>I29</f>
        <v>1806.53</v>
      </c>
      <c r="J90" s="132" t="s">
        <v>93</v>
      </c>
      <c r="K90" s="133">
        <f>K29</f>
        <v>1806.53</v>
      </c>
      <c r="L90" s="132" t="s">
        <v>93</v>
      </c>
      <c r="M90" s="133">
        <f>M29</f>
        <v>1806.53</v>
      </c>
      <c r="N90" s="132" t="s">
        <v>93</v>
      </c>
      <c r="O90" s="133">
        <f>O29</f>
        <v>1806.53</v>
      </c>
      <c r="P90" s="132" t="s">
        <v>93</v>
      </c>
      <c r="Q90" s="133">
        <f>Q29</f>
        <v>1806.53</v>
      </c>
      <c r="R90" s="132" t="s">
        <v>93</v>
      </c>
      <c r="S90" s="133">
        <f>S29</f>
        <v>1806.53</v>
      </c>
    </row>
    <row r="91" spans="1:19">
      <c r="A91" s="304"/>
      <c r="B91" s="304"/>
      <c r="C91" s="304"/>
      <c r="D91" s="304"/>
      <c r="E91" s="304"/>
      <c r="F91" s="304"/>
      <c r="G91" s="304"/>
      <c r="H91" s="132" t="s">
        <v>94</v>
      </c>
      <c r="I91" s="133">
        <f>I80</f>
        <v>1756.49</v>
      </c>
      <c r="J91" s="132" t="s">
        <v>94</v>
      </c>
      <c r="K91" s="133">
        <f>K80</f>
        <v>1708.09</v>
      </c>
      <c r="L91" s="132" t="s">
        <v>94</v>
      </c>
      <c r="M91" s="133">
        <f>M80</f>
        <v>1745.49</v>
      </c>
      <c r="N91" s="132" t="s">
        <v>94</v>
      </c>
      <c r="O91" s="133">
        <f>O80</f>
        <v>1747.69</v>
      </c>
      <c r="P91" s="132" t="s">
        <v>94</v>
      </c>
      <c r="Q91" s="133">
        <f>Q80</f>
        <v>1721.29</v>
      </c>
      <c r="R91" s="132" t="s">
        <v>94</v>
      </c>
      <c r="S91" s="133">
        <f>S80</f>
        <v>1747.69</v>
      </c>
    </row>
    <row r="92" spans="1:19">
      <c r="A92" s="304"/>
      <c r="B92" s="304"/>
      <c r="C92" s="304"/>
      <c r="D92" s="304"/>
      <c r="E92" s="304"/>
      <c r="F92" s="304"/>
      <c r="G92" s="304"/>
      <c r="H92" s="132" t="s">
        <v>95</v>
      </c>
      <c r="I92" s="133">
        <f>I89</f>
        <v>169.34</v>
      </c>
      <c r="J92" s="132" t="s">
        <v>95</v>
      </c>
      <c r="K92" s="133">
        <f>K89</f>
        <v>169.34</v>
      </c>
      <c r="L92" s="132" t="s">
        <v>95</v>
      </c>
      <c r="M92" s="133">
        <f>M89</f>
        <v>169.34</v>
      </c>
      <c r="N92" s="132" t="s">
        <v>95</v>
      </c>
      <c r="O92" s="133">
        <f>O89</f>
        <v>169.34</v>
      </c>
      <c r="P92" s="132" t="s">
        <v>95</v>
      </c>
      <c r="Q92" s="133">
        <f>Q89</f>
        <v>169.34</v>
      </c>
      <c r="R92" s="132" t="s">
        <v>95</v>
      </c>
      <c r="S92" s="133">
        <f>S89</f>
        <v>169.34</v>
      </c>
    </row>
    <row r="93" spans="1:19">
      <c r="A93" s="304"/>
      <c r="B93" s="304"/>
      <c r="C93" s="304"/>
      <c r="D93" s="304"/>
      <c r="E93" s="304"/>
      <c r="F93" s="304"/>
      <c r="G93" s="304"/>
      <c r="H93" s="132" t="s">
        <v>85</v>
      </c>
      <c r="I93" s="133">
        <f>SUM(I90:I92)</f>
        <v>3732.36</v>
      </c>
      <c r="J93" s="132" t="s">
        <v>85</v>
      </c>
      <c r="K93" s="133">
        <f>SUM(K90:K92)</f>
        <v>3683.96</v>
      </c>
      <c r="L93" s="132" t="s">
        <v>85</v>
      </c>
      <c r="M93" s="133">
        <f>SUM(M90:M92)</f>
        <v>3721.36</v>
      </c>
      <c r="N93" s="132" t="s">
        <v>85</v>
      </c>
      <c r="O93" s="133">
        <f>SUM(O90:O92)</f>
        <v>3723.56</v>
      </c>
      <c r="P93" s="132" t="s">
        <v>85</v>
      </c>
      <c r="Q93" s="133">
        <f>SUM(Q90:Q92)</f>
        <v>3697.16</v>
      </c>
      <c r="R93" s="132" t="s">
        <v>85</v>
      </c>
      <c r="S93" s="133">
        <f>SUM(S90:S92)</f>
        <v>3723.56</v>
      </c>
    </row>
    <row r="94" spans="1:19" ht="26.25" customHeight="1">
      <c r="A94" s="37" t="s">
        <v>131</v>
      </c>
      <c r="B94" s="134"/>
      <c r="C94" s="134"/>
      <c r="D94" s="134"/>
      <c r="E94" s="134"/>
      <c r="F94" s="134"/>
      <c r="G94" s="134"/>
      <c r="H94" s="135"/>
      <c r="I94" s="136"/>
      <c r="J94" s="135"/>
      <c r="K94" s="136"/>
      <c r="L94" s="135"/>
      <c r="M94" s="136"/>
      <c r="N94" s="135"/>
      <c r="O94" s="136"/>
      <c r="P94" s="135"/>
      <c r="Q94" s="136"/>
      <c r="R94" s="135"/>
      <c r="S94" s="136"/>
    </row>
    <row r="95" spans="1:19" s="4" customFormat="1" ht="63.75" customHeight="1">
      <c r="A95" s="138" t="s">
        <v>132</v>
      </c>
      <c r="B95" s="63" t="s">
        <v>133</v>
      </c>
      <c r="C95" s="63"/>
      <c r="D95" s="63"/>
      <c r="E95" s="63"/>
      <c r="F95" s="63"/>
      <c r="G95" s="63"/>
      <c r="H95" s="67" t="s">
        <v>134</v>
      </c>
      <c r="I95" s="68" t="s">
        <v>79</v>
      </c>
      <c r="J95" s="67" t="s">
        <v>134</v>
      </c>
      <c r="K95" s="68" t="s">
        <v>79</v>
      </c>
      <c r="L95" s="67" t="s">
        <v>134</v>
      </c>
      <c r="M95" s="68" t="s">
        <v>79</v>
      </c>
      <c r="N95" s="67" t="s">
        <v>134</v>
      </c>
      <c r="O95" s="68" t="s">
        <v>79</v>
      </c>
      <c r="P95" s="67" t="s">
        <v>134</v>
      </c>
      <c r="Q95" s="68" t="s">
        <v>79</v>
      </c>
      <c r="R95" s="67" t="s">
        <v>134</v>
      </c>
      <c r="S95" s="68" t="s">
        <v>79</v>
      </c>
    </row>
    <row r="96" spans="1:19" ht="16.5" customHeight="1">
      <c r="A96" s="69" t="s">
        <v>58</v>
      </c>
      <c r="B96" s="301" t="s">
        <v>135</v>
      </c>
      <c r="C96" s="301"/>
      <c r="D96" s="301"/>
      <c r="E96" s="301"/>
      <c r="F96" s="301"/>
      <c r="G96" s="301"/>
      <c r="H96" s="139">
        <f>'DADOS BÁSICOS LICITAÇÃO'!$H$59</f>
        <v>4.8734000000000002</v>
      </c>
      <c r="I96" s="71">
        <f>SUM(I97:I104)</f>
        <v>50.53</v>
      </c>
      <c r="J96" s="139">
        <f>'DADOS BÁSICOS LICITAÇÃO'!$H$59</f>
        <v>4.8734000000000002</v>
      </c>
      <c r="K96" s="71">
        <f t="shared" ref="K96" si="121">SUM(K97:K104)</f>
        <v>49.86</v>
      </c>
      <c r="L96" s="139">
        <f>'DADOS BÁSICOS LICITAÇÃO'!$H$59</f>
        <v>4.8734000000000002</v>
      </c>
      <c r="M96" s="71">
        <f t="shared" ref="M96" si="122">SUM(M97:M104)</f>
        <v>50.39</v>
      </c>
      <c r="N96" s="139">
        <f>'DADOS BÁSICOS LICITAÇÃO'!$H$59</f>
        <v>4.8734000000000002</v>
      </c>
      <c r="O96" s="71">
        <f t="shared" ref="O96" si="123">SUM(O97:O104)</f>
        <v>50.41</v>
      </c>
      <c r="P96" s="139">
        <f>'DADOS BÁSICOS LICITAÇÃO'!$H$59</f>
        <v>4.8734000000000002</v>
      </c>
      <c r="Q96" s="71">
        <f t="shared" ref="Q96" si="124">SUM(Q97:Q104)</f>
        <v>50.05</v>
      </c>
      <c r="R96" s="139">
        <f>'DADOS BÁSICOS LICITAÇÃO'!$H$59</f>
        <v>4.8734000000000002</v>
      </c>
      <c r="S96" s="71">
        <f t="shared" ref="S96" si="125">SUM(S97:S104)</f>
        <v>50.41</v>
      </c>
    </row>
    <row r="97" spans="1:19" ht="16.5" customHeight="1">
      <c r="A97" s="140" t="s">
        <v>219</v>
      </c>
      <c r="B97" s="300" t="s">
        <v>211</v>
      </c>
      <c r="C97" s="300"/>
      <c r="D97" s="300"/>
      <c r="E97" s="300"/>
      <c r="F97" s="300"/>
      <c r="G97" s="300"/>
      <c r="H97" s="139">
        <f>'DADOS BÁSICOS LICITAÇÃO'!$H$60</f>
        <v>1</v>
      </c>
      <c r="I97" s="141">
        <f>((I$93/30)*H97)/H$10</f>
        <v>10.37</v>
      </c>
      <c r="J97" s="139">
        <f>'DADOS BÁSICOS LICITAÇÃO'!$H$60</f>
        <v>1</v>
      </c>
      <c r="K97" s="141">
        <f t="shared" ref="K97" si="126">((K$93/30)*J97)/J$10</f>
        <v>10.23</v>
      </c>
      <c r="L97" s="139">
        <f>'DADOS BÁSICOS LICITAÇÃO'!$H$60</f>
        <v>1</v>
      </c>
      <c r="M97" s="141">
        <f t="shared" ref="M97" si="127">((M$93/30)*L97)/L$10</f>
        <v>10.34</v>
      </c>
      <c r="N97" s="139">
        <f>'DADOS BÁSICOS LICITAÇÃO'!$H$60</f>
        <v>1</v>
      </c>
      <c r="O97" s="141">
        <f t="shared" ref="O97" si="128">((O$93/30)*N97)/N$10</f>
        <v>10.34</v>
      </c>
      <c r="P97" s="139">
        <f>'DADOS BÁSICOS LICITAÇÃO'!$H$60</f>
        <v>1</v>
      </c>
      <c r="Q97" s="141">
        <f t="shared" ref="Q97" si="129">((Q$93/30)*P97)/P$10</f>
        <v>10.27</v>
      </c>
      <c r="R97" s="139">
        <f>'DADOS BÁSICOS LICITAÇÃO'!$H$60</f>
        <v>1</v>
      </c>
      <c r="S97" s="141">
        <f>((S$93/30)*R97)/R$10</f>
        <v>10.34</v>
      </c>
    </row>
    <row r="98" spans="1:19" ht="16.5" customHeight="1">
      <c r="A98" s="140" t="s">
        <v>221</v>
      </c>
      <c r="B98" s="300" t="s">
        <v>212</v>
      </c>
      <c r="C98" s="300"/>
      <c r="D98" s="300"/>
      <c r="E98" s="300"/>
      <c r="F98" s="300"/>
      <c r="G98" s="300"/>
      <c r="H98" s="139">
        <f>'DADOS BÁSICOS LICITAÇÃO'!$H$61</f>
        <v>3.4929999999999999</v>
      </c>
      <c r="I98" s="141">
        <f>((I$93/30)*H98)/H$10</f>
        <v>36.21</v>
      </c>
      <c r="J98" s="139">
        <f>'DADOS BÁSICOS LICITAÇÃO'!$H$61</f>
        <v>3.4929999999999999</v>
      </c>
      <c r="K98" s="141">
        <f t="shared" ref="K98" si="130">((K$93/30)*J98)/J$10</f>
        <v>35.74</v>
      </c>
      <c r="L98" s="139">
        <f>'DADOS BÁSICOS LICITAÇÃO'!$H$61</f>
        <v>3.4929999999999999</v>
      </c>
      <c r="M98" s="141">
        <f t="shared" ref="M98" si="131">((M$93/30)*L98)/L$10</f>
        <v>36.11</v>
      </c>
      <c r="N98" s="139">
        <f>'DADOS BÁSICOS LICITAÇÃO'!$H$61</f>
        <v>3.4929999999999999</v>
      </c>
      <c r="O98" s="141">
        <f t="shared" ref="O98" si="132">((O$93/30)*N98)/N$10</f>
        <v>36.130000000000003</v>
      </c>
      <c r="P98" s="139">
        <f>'DADOS BÁSICOS LICITAÇÃO'!$H$61</f>
        <v>3.4929999999999999</v>
      </c>
      <c r="Q98" s="141">
        <f t="shared" ref="Q98" si="133">((Q$93/30)*P98)/P$10</f>
        <v>35.869999999999997</v>
      </c>
      <c r="R98" s="139">
        <f>'DADOS BÁSICOS LICITAÇÃO'!$H$61</f>
        <v>3.4929999999999999</v>
      </c>
      <c r="S98" s="141">
        <f>((S$93/30)*R98)/R$10</f>
        <v>36.130000000000003</v>
      </c>
    </row>
    <row r="99" spans="1:19" ht="16.5" customHeight="1">
      <c r="A99" s="140" t="s">
        <v>222</v>
      </c>
      <c r="B99" s="300" t="s">
        <v>213</v>
      </c>
      <c r="C99" s="300"/>
      <c r="D99" s="300"/>
      <c r="E99" s="300"/>
      <c r="F99" s="300"/>
      <c r="G99" s="300"/>
      <c r="H99" s="139">
        <f>'DADOS BÁSICOS LICITAÇÃO'!$H$62</f>
        <v>0.26879999999999998</v>
      </c>
      <c r="I99" s="141">
        <f t="shared" ref="I99:I108" si="134">(I$93/30)*(H99/H$10)</f>
        <v>2.79</v>
      </c>
      <c r="J99" s="139">
        <f>'DADOS BÁSICOS LICITAÇÃO'!$H$62</f>
        <v>0.26879999999999998</v>
      </c>
      <c r="K99" s="141">
        <f t="shared" ref="K99" si="135">(K$93/30)*(J99/J$10)</f>
        <v>2.75</v>
      </c>
      <c r="L99" s="139">
        <f>'DADOS BÁSICOS LICITAÇÃO'!$H$62</f>
        <v>0.26879999999999998</v>
      </c>
      <c r="M99" s="141">
        <f t="shared" ref="M99" si="136">(M$93/30)*(L99/L$10)</f>
        <v>2.78</v>
      </c>
      <c r="N99" s="139">
        <f>'DADOS BÁSICOS LICITAÇÃO'!$H$62</f>
        <v>0.26879999999999998</v>
      </c>
      <c r="O99" s="141">
        <f t="shared" ref="O99" si="137">(O$93/30)*(N99/N$10)</f>
        <v>2.78</v>
      </c>
      <c r="P99" s="139">
        <f>'DADOS BÁSICOS LICITAÇÃO'!$H$62</f>
        <v>0.26879999999999998</v>
      </c>
      <c r="Q99" s="141">
        <f t="shared" ref="Q99" si="138">(Q$93/30)*(P99/P$10)</f>
        <v>2.76</v>
      </c>
      <c r="R99" s="139">
        <f>'DADOS BÁSICOS LICITAÇÃO'!$H$62</f>
        <v>0.26879999999999998</v>
      </c>
      <c r="S99" s="141">
        <f t="shared" ref="S99:S108" si="139">(S$93/30)*(R99/R$10)</f>
        <v>2.78</v>
      </c>
    </row>
    <row r="100" spans="1:19" ht="16.5" customHeight="1">
      <c r="A100" s="140" t="s">
        <v>228</v>
      </c>
      <c r="B100" s="300" t="s">
        <v>214</v>
      </c>
      <c r="C100" s="300"/>
      <c r="D100" s="300"/>
      <c r="E100" s="300"/>
      <c r="F100" s="300"/>
      <c r="G100" s="300"/>
      <c r="H100" s="139">
        <f>'DADOS BÁSICOS LICITAÇÃO'!$H$63</f>
        <v>4.2599999999999999E-2</v>
      </c>
      <c r="I100" s="141">
        <f t="shared" si="134"/>
        <v>0.44</v>
      </c>
      <c r="J100" s="139">
        <f>'DADOS BÁSICOS LICITAÇÃO'!$H$63</f>
        <v>4.2599999999999999E-2</v>
      </c>
      <c r="K100" s="141">
        <f t="shared" ref="K100" si="140">(K$93/30)*(J100/J$10)</f>
        <v>0.44</v>
      </c>
      <c r="L100" s="139">
        <f>'DADOS BÁSICOS LICITAÇÃO'!$H$63</f>
        <v>4.2599999999999999E-2</v>
      </c>
      <c r="M100" s="141">
        <f t="shared" ref="M100" si="141">(M$93/30)*(L100/L$10)</f>
        <v>0.44</v>
      </c>
      <c r="N100" s="139">
        <f>'DADOS BÁSICOS LICITAÇÃO'!$H$63</f>
        <v>4.2599999999999999E-2</v>
      </c>
      <c r="O100" s="141">
        <f t="shared" ref="O100" si="142">(O$93/30)*(N100/N$10)</f>
        <v>0.44</v>
      </c>
      <c r="P100" s="139">
        <f>'DADOS BÁSICOS LICITAÇÃO'!$H$63</f>
        <v>4.2599999999999999E-2</v>
      </c>
      <c r="Q100" s="141">
        <f t="shared" ref="Q100" si="143">(Q$93/30)*(P100/P$10)</f>
        <v>0.44</v>
      </c>
      <c r="R100" s="139">
        <f>'DADOS BÁSICOS LICITAÇÃO'!$H$63</f>
        <v>4.2599999999999999E-2</v>
      </c>
      <c r="S100" s="141">
        <f t="shared" si="139"/>
        <v>0.44</v>
      </c>
    </row>
    <row r="101" spans="1:19" ht="16.5" customHeight="1">
      <c r="A101" s="140" t="s">
        <v>229</v>
      </c>
      <c r="B101" s="300" t="s">
        <v>215</v>
      </c>
      <c r="C101" s="300"/>
      <c r="D101" s="300"/>
      <c r="E101" s="300"/>
      <c r="F101" s="300"/>
      <c r="G101" s="300"/>
      <c r="H101" s="139">
        <f>'DADOS BÁSICOS LICITAÇÃO'!$H$64</f>
        <v>3.5400000000000001E-2</v>
      </c>
      <c r="I101" s="141">
        <f t="shared" si="134"/>
        <v>0.37</v>
      </c>
      <c r="J101" s="139">
        <f>'DADOS BÁSICOS LICITAÇÃO'!$H$64</f>
        <v>3.5400000000000001E-2</v>
      </c>
      <c r="K101" s="141">
        <f t="shared" ref="K101" si="144">(K$93/30)*(J101/J$10)</f>
        <v>0.36</v>
      </c>
      <c r="L101" s="139">
        <f>'DADOS BÁSICOS LICITAÇÃO'!$H$64</f>
        <v>3.5400000000000001E-2</v>
      </c>
      <c r="M101" s="141">
        <f t="shared" ref="M101" si="145">(M$93/30)*(L101/L$10)</f>
        <v>0.37</v>
      </c>
      <c r="N101" s="139">
        <f>'DADOS BÁSICOS LICITAÇÃO'!$H$64</f>
        <v>3.5400000000000001E-2</v>
      </c>
      <c r="O101" s="141">
        <f t="shared" ref="O101" si="146">(O$93/30)*(N101/N$10)</f>
        <v>0.37</v>
      </c>
      <c r="P101" s="139">
        <f>'DADOS BÁSICOS LICITAÇÃO'!$H$64</f>
        <v>3.5400000000000001E-2</v>
      </c>
      <c r="Q101" s="141">
        <f t="shared" ref="Q101" si="147">(Q$93/30)*(P101/P$10)</f>
        <v>0.36</v>
      </c>
      <c r="R101" s="139">
        <f>'DADOS BÁSICOS LICITAÇÃO'!$H$64</f>
        <v>3.5400000000000001E-2</v>
      </c>
      <c r="S101" s="141">
        <f t="shared" si="139"/>
        <v>0.37</v>
      </c>
    </row>
    <row r="102" spans="1:19" ht="16.5" customHeight="1">
      <c r="A102" s="140" t="s">
        <v>230</v>
      </c>
      <c r="B102" s="300" t="s">
        <v>216</v>
      </c>
      <c r="C102" s="300"/>
      <c r="D102" s="300"/>
      <c r="E102" s="300"/>
      <c r="F102" s="300"/>
      <c r="G102" s="300"/>
      <c r="H102" s="139">
        <f>'DADOS BÁSICOS LICITAÇÃO'!$H$65</f>
        <v>0.02</v>
      </c>
      <c r="I102" s="141">
        <f t="shared" si="134"/>
        <v>0.21</v>
      </c>
      <c r="J102" s="139">
        <f>'DADOS BÁSICOS LICITAÇÃO'!$H$65</f>
        <v>0.02</v>
      </c>
      <c r="K102" s="141">
        <f t="shared" ref="K102" si="148">(K$93/30)*(J102/J$10)</f>
        <v>0.2</v>
      </c>
      <c r="L102" s="139">
        <f>'DADOS BÁSICOS LICITAÇÃO'!$H$65</f>
        <v>0.02</v>
      </c>
      <c r="M102" s="141">
        <f t="shared" ref="M102" si="149">(M$93/30)*(L102/L$10)</f>
        <v>0.21</v>
      </c>
      <c r="N102" s="139">
        <f>'DADOS BÁSICOS LICITAÇÃO'!$H$65</f>
        <v>0.02</v>
      </c>
      <c r="O102" s="141">
        <f t="shared" ref="O102" si="150">(O$93/30)*(N102/N$10)</f>
        <v>0.21</v>
      </c>
      <c r="P102" s="139">
        <f>'DADOS BÁSICOS LICITAÇÃO'!$H$65</f>
        <v>0.02</v>
      </c>
      <c r="Q102" s="141">
        <f t="shared" ref="Q102" si="151">(Q$93/30)*(P102/P$10)</f>
        <v>0.21</v>
      </c>
      <c r="R102" s="139">
        <f>'DADOS BÁSICOS LICITAÇÃO'!$H$65</f>
        <v>0.02</v>
      </c>
      <c r="S102" s="141">
        <f t="shared" si="139"/>
        <v>0.21</v>
      </c>
    </row>
    <row r="103" spans="1:19" ht="16.5" customHeight="1">
      <c r="A103" s="140" t="s">
        <v>231</v>
      </c>
      <c r="B103" s="300" t="s">
        <v>217</v>
      </c>
      <c r="C103" s="300"/>
      <c r="D103" s="300"/>
      <c r="E103" s="300"/>
      <c r="F103" s="300"/>
      <c r="G103" s="300"/>
      <c r="H103" s="139">
        <f>'DADOS BÁSICOS LICITAÇÃO'!$H$66</f>
        <v>4.0000000000000001E-3</v>
      </c>
      <c r="I103" s="141">
        <f t="shared" si="134"/>
        <v>0.04</v>
      </c>
      <c r="J103" s="139">
        <f>'DADOS BÁSICOS LICITAÇÃO'!$H$66</f>
        <v>4.0000000000000001E-3</v>
      </c>
      <c r="K103" s="141">
        <f t="shared" ref="K103" si="152">(K$93/30)*(J103/J$10)</f>
        <v>0.04</v>
      </c>
      <c r="L103" s="139">
        <f>'DADOS BÁSICOS LICITAÇÃO'!$H$66</f>
        <v>4.0000000000000001E-3</v>
      </c>
      <c r="M103" s="141">
        <f t="shared" ref="M103" si="153">(M$93/30)*(L103/L$10)</f>
        <v>0.04</v>
      </c>
      <c r="N103" s="139">
        <f>'DADOS BÁSICOS LICITAÇÃO'!$H$66</f>
        <v>4.0000000000000001E-3</v>
      </c>
      <c r="O103" s="141">
        <f t="shared" ref="O103" si="154">(O$93/30)*(N103/N$10)</f>
        <v>0.04</v>
      </c>
      <c r="P103" s="139">
        <f>'DADOS BÁSICOS LICITAÇÃO'!$H$66</f>
        <v>4.0000000000000001E-3</v>
      </c>
      <c r="Q103" s="141">
        <f t="shared" ref="Q103" si="155">(Q$93/30)*(P103/P$10)</f>
        <v>0.04</v>
      </c>
      <c r="R103" s="139">
        <f>'DADOS BÁSICOS LICITAÇÃO'!$H$66</f>
        <v>4.0000000000000001E-3</v>
      </c>
      <c r="S103" s="141">
        <f t="shared" si="139"/>
        <v>0.04</v>
      </c>
    </row>
    <row r="104" spans="1:19" ht="16.5" customHeight="1">
      <c r="A104" s="140" t="s">
        <v>232</v>
      </c>
      <c r="B104" s="300" t="s">
        <v>218</v>
      </c>
      <c r="C104" s="300"/>
      <c r="D104" s="300"/>
      <c r="E104" s="300"/>
      <c r="F104" s="300"/>
      <c r="G104" s="300"/>
      <c r="H104" s="139">
        <f>'DADOS BÁSICOS LICITAÇÃO'!$H$67</f>
        <v>9.5999999999999992E-3</v>
      </c>
      <c r="I104" s="141">
        <f t="shared" si="134"/>
        <v>0.1</v>
      </c>
      <c r="J104" s="139">
        <f>'DADOS BÁSICOS LICITAÇÃO'!$H$67</f>
        <v>9.5999999999999992E-3</v>
      </c>
      <c r="K104" s="141">
        <f t="shared" ref="K104" si="156">(K$93/30)*(J104/J$10)</f>
        <v>0.1</v>
      </c>
      <c r="L104" s="139">
        <f>'DADOS BÁSICOS LICITAÇÃO'!$H$67</f>
        <v>9.5999999999999992E-3</v>
      </c>
      <c r="M104" s="141">
        <f t="shared" ref="M104" si="157">(M$93/30)*(L104/L$10)</f>
        <v>0.1</v>
      </c>
      <c r="N104" s="139">
        <f>'DADOS BÁSICOS LICITAÇÃO'!$H$67</f>
        <v>9.5999999999999992E-3</v>
      </c>
      <c r="O104" s="141">
        <f t="shared" ref="O104" si="158">(O$93/30)*(N104/N$10)</f>
        <v>0.1</v>
      </c>
      <c r="P104" s="139">
        <f>'DADOS BÁSICOS LICITAÇÃO'!$H$67</f>
        <v>9.5999999999999992E-3</v>
      </c>
      <c r="Q104" s="141">
        <f t="shared" ref="Q104" si="159">(Q$93/30)*(P104/P$10)</f>
        <v>0.1</v>
      </c>
      <c r="R104" s="139">
        <f>'DADOS BÁSICOS LICITAÇÃO'!$H$67</f>
        <v>9.5999999999999992E-3</v>
      </c>
      <c r="S104" s="141">
        <f t="shared" si="139"/>
        <v>0.1</v>
      </c>
    </row>
    <row r="105" spans="1:19" ht="16.5" customHeight="1">
      <c r="A105" s="69" t="s">
        <v>60</v>
      </c>
      <c r="B105" s="301" t="s">
        <v>136</v>
      </c>
      <c r="C105" s="301"/>
      <c r="D105" s="301"/>
      <c r="E105" s="301"/>
      <c r="F105" s="301"/>
      <c r="G105" s="301"/>
      <c r="H105" s="139">
        <f>'DADOS BÁSICOS LICITAÇÃO'!$H$68</f>
        <v>0.19980000000000001</v>
      </c>
      <c r="I105" s="71">
        <f t="shared" si="134"/>
        <v>2.0699999999999998</v>
      </c>
      <c r="J105" s="139">
        <f>'DADOS BÁSICOS LICITAÇÃO'!$H$68</f>
        <v>0.19980000000000001</v>
      </c>
      <c r="K105" s="71">
        <f t="shared" ref="K105" si="160">(K$93/30)*(J105/J$10)</f>
        <v>2.04</v>
      </c>
      <c r="L105" s="139">
        <f>'DADOS BÁSICOS LICITAÇÃO'!$H$68</f>
        <v>0.19980000000000001</v>
      </c>
      <c r="M105" s="71">
        <f t="shared" ref="M105" si="161">(M$93/30)*(L105/L$10)</f>
        <v>2.0699999999999998</v>
      </c>
      <c r="N105" s="139">
        <f>'DADOS BÁSICOS LICITAÇÃO'!$H$68</f>
        <v>0.19980000000000001</v>
      </c>
      <c r="O105" s="71">
        <f t="shared" ref="O105" si="162">(O$93/30)*(N105/N$10)</f>
        <v>2.0699999999999998</v>
      </c>
      <c r="P105" s="139">
        <f>'DADOS BÁSICOS LICITAÇÃO'!$H$68</f>
        <v>0.19980000000000001</v>
      </c>
      <c r="Q105" s="71">
        <f t="shared" ref="Q105" si="163">(Q$93/30)*(P105/P$10)</f>
        <v>2.0499999999999998</v>
      </c>
      <c r="R105" s="139">
        <f>'DADOS BÁSICOS LICITAÇÃO'!$H$68</f>
        <v>0.19980000000000001</v>
      </c>
      <c r="S105" s="71">
        <f t="shared" si="139"/>
        <v>2.0699999999999998</v>
      </c>
    </row>
    <row r="106" spans="1:19" ht="16.5" customHeight="1">
      <c r="A106" s="69" t="s">
        <v>62</v>
      </c>
      <c r="B106" s="301" t="s">
        <v>137</v>
      </c>
      <c r="C106" s="301"/>
      <c r="D106" s="301"/>
      <c r="E106" s="301"/>
      <c r="F106" s="301"/>
      <c r="G106" s="301"/>
      <c r="H106" s="139">
        <f>'DADOS BÁSICOS LICITAÇÃO'!$H$69</f>
        <v>0.96619999999999995</v>
      </c>
      <c r="I106" s="71">
        <f t="shared" si="134"/>
        <v>10.02</v>
      </c>
      <c r="J106" s="139">
        <f>'DADOS BÁSICOS LICITAÇÃO'!$H$69</f>
        <v>0.96619999999999995</v>
      </c>
      <c r="K106" s="71">
        <f t="shared" ref="K106" si="164">(K$93/30)*(J106/J$10)</f>
        <v>9.89</v>
      </c>
      <c r="L106" s="139">
        <f>'DADOS BÁSICOS LICITAÇÃO'!$H$69</f>
        <v>0.96619999999999995</v>
      </c>
      <c r="M106" s="71">
        <f t="shared" ref="M106" si="165">(M$93/30)*(L106/L$10)</f>
        <v>9.99</v>
      </c>
      <c r="N106" s="139">
        <f>'DADOS BÁSICOS LICITAÇÃO'!$H$69</f>
        <v>0.96619999999999995</v>
      </c>
      <c r="O106" s="71">
        <f t="shared" ref="O106" si="166">(O$93/30)*(N106/N$10)</f>
        <v>9.99</v>
      </c>
      <c r="P106" s="139">
        <f>'DADOS BÁSICOS LICITAÇÃO'!$H$69</f>
        <v>0.96619999999999995</v>
      </c>
      <c r="Q106" s="71">
        <f t="shared" ref="Q106" si="167">(Q$93/30)*(P106/P$10)</f>
        <v>9.92</v>
      </c>
      <c r="R106" s="139">
        <f>'DADOS BÁSICOS LICITAÇÃO'!$H$69</f>
        <v>0.96619999999999995</v>
      </c>
      <c r="S106" s="71">
        <f t="shared" si="139"/>
        <v>9.99</v>
      </c>
    </row>
    <row r="107" spans="1:19" ht="16.5" customHeight="1">
      <c r="A107" s="69" t="s">
        <v>64</v>
      </c>
      <c r="B107" s="301" t="s">
        <v>138</v>
      </c>
      <c r="C107" s="301"/>
      <c r="D107" s="301"/>
      <c r="E107" s="301"/>
      <c r="F107" s="301"/>
      <c r="G107" s="301"/>
      <c r="H107" s="139">
        <f>'DADOS BÁSICOS LICITAÇÃO'!$H$70</f>
        <v>2.4771999999999998</v>
      </c>
      <c r="I107" s="71">
        <f t="shared" si="134"/>
        <v>25.68</v>
      </c>
      <c r="J107" s="139">
        <f>'DADOS BÁSICOS LICITAÇÃO'!$H$70</f>
        <v>2.4771999999999998</v>
      </c>
      <c r="K107" s="71">
        <f t="shared" ref="K107" si="168">(K$93/30)*(J107/J$10)</f>
        <v>25.35</v>
      </c>
      <c r="L107" s="139">
        <f>'DADOS BÁSICOS LICITAÇÃO'!$H$70</f>
        <v>2.4771999999999998</v>
      </c>
      <c r="M107" s="71">
        <f t="shared" ref="M107" si="169">(M$93/30)*(L107/L$10)</f>
        <v>25.61</v>
      </c>
      <c r="N107" s="139">
        <f>'DADOS BÁSICOS LICITAÇÃO'!$H$70</f>
        <v>2.4771999999999998</v>
      </c>
      <c r="O107" s="71">
        <f t="shared" ref="O107" si="170">(O$93/30)*(N107/N$10)</f>
        <v>25.62</v>
      </c>
      <c r="P107" s="139">
        <f>'DADOS BÁSICOS LICITAÇÃO'!$H$70</f>
        <v>2.4771999999999998</v>
      </c>
      <c r="Q107" s="71">
        <f t="shared" ref="Q107" si="171">(Q$93/30)*(P107/P$10)</f>
        <v>25.44</v>
      </c>
      <c r="R107" s="139">
        <f>'DADOS BÁSICOS LICITAÇÃO'!$H$70</f>
        <v>2.4771999999999998</v>
      </c>
      <c r="S107" s="71">
        <f t="shared" si="139"/>
        <v>25.62</v>
      </c>
    </row>
    <row r="108" spans="1:19" ht="16.5" customHeight="1">
      <c r="A108" s="41" t="s">
        <v>66</v>
      </c>
      <c r="B108" s="301" t="s">
        <v>139</v>
      </c>
      <c r="C108" s="301"/>
      <c r="D108" s="301"/>
      <c r="E108" s="301"/>
      <c r="F108" s="301"/>
      <c r="G108" s="301"/>
      <c r="H108" s="139">
        <f>'DADOS BÁSICOS LICITAÇÃO'!$H$71</f>
        <v>0</v>
      </c>
      <c r="I108" s="71">
        <f t="shared" si="134"/>
        <v>0</v>
      </c>
      <c r="J108" s="139">
        <f>'DADOS BÁSICOS LICITAÇÃO'!$H$71</f>
        <v>0</v>
      </c>
      <c r="K108" s="71">
        <f t="shared" ref="K108" si="172">(K$93/30)*(J108/J$10)</f>
        <v>0</v>
      </c>
      <c r="L108" s="139">
        <f>'DADOS BÁSICOS LICITAÇÃO'!$H$71</f>
        <v>0</v>
      </c>
      <c r="M108" s="71">
        <f t="shared" ref="M108" si="173">(M$93/30)*(L108/L$10)</f>
        <v>0</v>
      </c>
      <c r="N108" s="139">
        <f>'DADOS BÁSICOS LICITAÇÃO'!$H$71</f>
        <v>0</v>
      </c>
      <c r="O108" s="71">
        <f t="shared" ref="O108" si="174">(O$93/30)*(N108/N$10)</f>
        <v>0</v>
      </c>
      <c r="P108" s="139">
        <f>'DADOS BÁSICOS LICITAÇÃO'!$H$71</f>
        <v>0</v>
      </c>
      <c r="Q108" s="71">
        <f t="shared" ref="Q108" si="175">(Q$93/30)*(P108/P$10)</f>
        <v>0</v>
      </c>
      <c r="R108" s="139">
        <f>'DADOS BÁSICOS LICITAÇÃO'!$H$71</f>
        <v>0</v>
      </c>
      <c r="S108" s="71">
        <f t="shared" si="139"/>
        <v>0</v>
      </c>
    </row>
    <row r="109" spans="1:19">
      <c r="A109" s="287" t="s">
        <v>85</v>
      </c>
      <c r="B109" s="287"/>
      <c r="C109" s="287"/>
      <c r="D109" s="287"/>
      <c r="E109" s="287"/>
      <c r="F109" s="287"/>
      <c r="G109" s="287"/>
      <c r="H109" s="142">
        <f>H96+H105+H106+H107+H108</f>
        <v>8.5166000000000004</v>
      </c>
      <c r="I109" s="80">
        <f>I96+I105+I106+I107+I108</f>
        <v>88.3</v>
      </c>
      <c r="J109" s="142">
        <f>$H109</f>
        <v>8.5166000000000004</v>
      </c>
      <c r="K109" s="80">
        <f>K96+K105+K106+K107+K108</f>
        <v>87.14</v>
      </c>
      <c r="L109" s="142">
        <f>$H109</f>
        <v>8.5166000000000004</v>
      </c>
      <c r="M109" s="80">
        <f>M96+M105+M106+M107+M108</f>
        <v>88.06</v>
      </c>
      <c r="N109" s="142">
        <f>$H109</f>
        <v>8.5166000000000004</v>
      </c>
      <c r="O109" s="80">
        <f>O96+O105+O106+O107+O108</f>
        <v>88.09</v>
      </c>
      <c r="P109" s="142">
        <f>$H109</f>
        <v>8.5166000000000004</v>
      </c>
      <c r="Q109" s="80">
        <f>Q96+Q105+Q106+Q107+Q108</f>
        <v>87.46</v>
      </c>
      <c r="R109" s="142">
        <f>$H109</f>
        <v>8.5166000000000004</v>
      </c>
      <c r="S109" s="80">
        <f>S96+S105+S106+S107+S108</f>
        <v>88.09</v>
      </c>
    </row>
    <row r="110" spans="1:19">
      <c r="A110" s="143" t="s">
        <v>140</v>
      </c>
      <c r="B110" s="290" t="s">
        <v>141</v>
      </c>
      <c r="C110" s="290"/>
      <c r="D110" s="290"/>
      <c r="E110" s="290"/>
      <c r="F110" s="290"/>
      <c r="G110" s="290"/>
      <c r="H110" s="144"/>
      <c r="I110" s="145" t="s">
        <v>79</v>
      </c>
      <c r="J110" s="144"/>
      <c r="K110" s="145" t="s">
        <v>79</v>
      </c>
      <c r="L110" s="144"/>
      <c r="M110" s="145" t="s">
        <v>79</v>
      </c>
      <c r="N110" s="144"/>
      <c r="O110" s="145" t="s">
        <v>79</v>
      </c>
      <c r="P110" s="144"/>
      <c r="Q110" s="145" t="s">
        <v>79</v>
      </c>
      <c r="R110" s="144"/>
      <c r="S110" s="145" t="s">
        <v>79</v>
      </c>
    </row>
    <row r="111" spans="1:19" ht="16.5" customHeight="1">
      <c r="A111" s="69" t="s">
        <v>58</v>
      </c>
      <c r="B111" s="286" t="s">
        <v>142</v>
      </c>
      <c r="C111" s="286"/>
      <c r="D111" s="286"/>
      <c r="E111" s="286"/>
      <c r="F111" s="286"/>
      <c r="G111" s="286"/>
      <c r="H111" s="48"/>
      <c r="I111" s="146">
        <v>0</v>
      </c>
      <c r="J111" s="48"/>
      <c r="K111" s="146">
        <v>0</v>
      </c>
      <c r="L111" s="48"/>
      <c r="M111" s="146">
        <v>0</v>
      </c>
      <c r="N111" s="48"/>
      <c r="O111" s="146">
        <v>0</v>
      </c>
      <c r="P111" s="48"/>
      <c r="Q111" s="146">
        <v>0</v>
      </c>
      <c r="R111" s="48"/>
      <c r="S111" s="146">
        <v>0</v>
      </c>
    </row>
    <row r="112" spans="1:19">
      <c r="A112" s="287" t="s">
        <v>85</v>
      </c>
      <c r="B112" s="287"/>
      <c r="C112" s="287"/>
      <c r="D112" s="287"/>
      <c r="E112" s="287"/>
      <c r="F112" s="287"/>
      <c r="G112" s="287"/>
      <c r="H112" s="113"/>
      <c r="I112" s="147">
        <f>SUM(I111:I111)</f>
        <v>0</v>
      </c>
      <c r="J112" s="113"/>
      <c r="K112" s="147">
        <f>SUM(K111:K111)</f>
        <v>0</v>
      </c>
      <c r="L112" s="113"/>
      <c r="M112" s="147">
        <f>SUM(M111:M111)</f>
        <v>0</v>
      </c>
      <c r="N112" s="113"/>
      <c r="O112" s="147">
        <f>SUM(O111:O111)</f>
        <v>0</v>
      </c>
      <c r="P112" s="113"/>
      <c r="Q112" s="147">
        <f>SUM(Q111:Q111)</f>
        <v>0</v>
      </c>
      <c r="R112" s="113"/>
      <c r="S112" s="147">
        <f>SUM(S111:S111)</f>
        <v>0</v>
      </c>
    </row>
    <row r="113" spans="1:20" ht="21.75" customHeight="1">
      <c r="A113" s="37" t="s">
        <v>143</v>
      </c>
      <c r="B113" s="63"/>
      <c r="C113" s="63"/>
      <c r="D113" s="63"/>
      <c r="E113" s="63"/>
      <c r="F113" s="63"/>
      <c r="G113" s="63"/>
      <c r="H113" s="64"/>
      <c r="I113" s="65"/>
      <c r="J113" s="64"/>
      <c r="K113" s="65"/>
      <c r="L113" s="64"/>
      <c r="M113" s="65"/>
      <c r="N113" s="64"/>
      <c r="O113" s="65"/>
      <c r="P113" s="64"/>
      <c r="Q113" s="65"/>
      <c r="R113" s="64"/>
      <c r="S113" s="65"/>
    </row>
    <row r="114" spans="1:20" ht="12.75" customHeight="1">
      <c r="A114" s="66">
        <v>4</v>
      </c>
      <c r="B114" s="288" t="s">
        <v>144</v>
      </c>
      <c r="C114" s="288"/>
      <c r="D114" s="288"/>
      <c r="E114" s="288"/>
      <c r="F114" s="288"/>
      <c r="G114" s="288"/>
      <c r="H114" s="148"/>
      <c r="I114" s="68" t="s">
        <v>79</v>
      </c>
      <c r="J114" s="148"/>
      <c r="K114" s="68" t="s">
        <v>79</v>
      </c>
      <c r="L114" s="148"/>
      <c r="M114" s="68" t="s">
        <v>79</v>
      </c>
      <c r="N114" s="148"/>
      <c r="O114" s="68" t="s">
        <v>79</v>
      </c>
      <c r="P114" s="148"/>
      <c r="Q114" s="68" t="s">
        <v>79</v>
      </c>
      <c r="R114" s="148"/>
      <c r="S114" s="68" t="s">
        <v>79</v>
      </c>
    </row>
    <row r="115" spans="1:20" ht="12.75" customHeight="1">
      <c r="A115" s="85" t="s">
        <v>132</v>
      </c>
      <c r="B115" s="284" t="s">
        <v>133</v>
      </c>
      <c r="C115" s="284"/>
      <c r="D115" s="284"/>
      <c r="E115" s="284"/>
      <c r="F115" s="284"/>
      <c r="G115" s="284"/>
      <c r="H115" s="149"/>
      <c r="I115" s="71">
        <f>I109</f>
        <v>88.3</v>
      </c>
      <c r="J115" s="149"/>
      <c r="K115" s="71">
        <f>K109</f>
        <v>87.14</v>
      </c>
      <c r="L115" s="149"/>
      <c r="M115" s="71">
        <f>M109</f>
        <v>88.06</v>
      </c>
      <c r="N115" s="149"/>
      <c r="O115" s="71">
        <f>O109</f>
        <v>88.09</v>
      </c>
      <c r="P115" s="149"/>
      <c r="Q115" s="71">
        <f>Q109</f>
        <v>87.46</v>
      </c>
      <c r="R115" s="149"/>
      <c r="S115" s="71">
        <f>S109</f>
        <v>88.09</v>
      </c>
    </row>
    <row r="116" spans="1:20" ht="12.75" customHeight="1">
      <c r="A116" s="85" t="s">
        <v>140</v>
      </c>
      <c r="B116" s="299" t="s">
        <v>145</v>
      </c>
      <c r="C116" s="299"/>
      <c r="D116" s="299"/>
      <c r="E116" s="299"/>
      <c r="F116" s="299"/>
      <c r="G116" s="299"/>
      <c r="H116" s="150"/>
      <c r="I116" s="71">
        <f>I112</f>
        <v>0</v>
      </c>
      <c r="J116" s="150"/>
      <c r="K116" s="71">
        <f>K112</f>
        <v>0</v>
      </c>
      <c r="L116" s="150"/>
      <c r="M116" s="71">
        <f>M112</f>
        <v>0</v>
      </c>
      <c r="N116" s="150"/>
      <c r="O116" s="71">
        <f>O112</f>
        <v>0</v>
      </c>
      <c r="P116" s="150"/>
      <c r="Q116" s="71">
        <f>Q112</f>
        <v>0</v>
      </c>
      <c r="R116" s="150"/>
      <c r="S116" s="71">
        <f>S112</f>
        <v>0</v>
      </c>
    </row>
    <row r="117" spans="1:20">
      <c r="A117" s="298" t="s">
        <v>85</v>
      </c>
      <c r="B117" s="298"/>
      <c r="C117" s="298"/>
      <c r="D117" s="298"/>
      <c r="E117" s="298"/>
      <c r="F117" s="298"/>
      <c r="G117" s="298"/>
      <c r="H117" s="151"/>
      <c r="I117" s="80">
        <f>SUM(I115:I116)</f>
        <v>88.3</v>
      </c>
      <c r="J117" s="151"/>
      <c r="K117" s="80">
        <f>SUM(K115:K116)</f>
        <v>87.14</v>
      </c>
      <c r="L117" s="151"/>
      <c r="M117" s="80">
        <f>SUM(M115:M116)</f>
        <v>88.06</v>
      </c>
      <c r="N117" s="151"/>
      <c r="O117" s="80">
        <f>SUM(O115:O116)</f>
        <v>88.09</v>
      </c>
      <c r="P117" s="151"/>
      <c r="Q117" s="80">
        <f>SUM(Q115:Q116)</f>
        <v>87.46</v>
      </c>
      <c r="R117" s="151"/>
      <c r="S117" s="80">
        <f>SUM(S115:S116)</f>
        <v>88.09</v>
      </c>
    </row>
    <row r="118" spans="1:20" ht="18.75" customHeight="1">
      <c r="A118" s="37" t="s">
        <v>146</v>
      </c>
      <c r="B118" s="38"/>
      <c r="C118" s="38"/>
      <c r="D118" s="38"/>
      <c r="E118" s="38"/>
      <c r="F118" s="38"/>
      <c r="G118" s="38"/>
      <c r="H118" s="39"/>
      <c r="I118" s="152"/>
      <c r="J118" s="39"/>
      <c r="K118" s="40"/>
      <c r="L118" s="39"/>
      <c r="M118" s="40"/>
      <c r="N118" s="39"/>
      <c r="O118" s="40"/>
      <c r="P118" s="39"/>
      <c r="Q118" s="40"/>
      <c r="R118" s="39"/>
      <c r="S118" s="40"/>
    </row>
    <row r="119" spans="1:20" ht="12.75" customHeight="1">
      <c r="A119" s="66">
        <v>5</v>
      </c>
      <c r="B119" s="288" t="s">
        <v>147</v>
      </c>
      <c r="C119" s="288"/>
      <c r="D119" s="288"/>
      <c r="E119" s="288"/>
      <c r="F119" s="288"/>
      <c r="G119" s="288"/>
      <c r="H119" s="148"/>
      <c r="I119" s="68" t="s">
        <v>79</v>
      </c>
      <c r="J119" s="148"/>
      <c r="K119" s="68" t="s">
        <v>79</v>
      </c>
      <c r="L119" s="148"/>
      <c r="M119" s="68" t="s">
        <v>79</v>
      </c>
      <c r="N119" s="148"/>
      <c r="O119" s="68" t="s">
        <v>79</v>
      </c>
      <c r="P119" s="148"/>
      <c r="Q119" s="68" t="s">
        <v>79</v>
      </c>
      <c r="R119" s="148"/>
      <c r="S119" s="68" t="s">
        <v>79</v>
      </c>
    </row>
    <row r="120" spans="1:20" ht="15" customHeight="1">
      <c r="A120" s="154" t="s">
        <v>58</v>
      </c>
      <c r="B120" s="377" t="s">
        <v>40</v>
      </c>
      <c r="C120" s="378"/>
      <c r="D120" s="378"/>
      <c r="E120" s="378"/>
      <c r="F120" s="378"/>
      <c r="G120" s="379"/>
      <c r="H120" s="149"/>
      <c r="I120" s="71">
        <f>SUM(I121:I123)</f>
        <v>66.28</v>
      </c>
      <c r="J120" s="149"/>
      <c r="K120" s="71">
        <f t="shared" ref="K120" si="176">SUM(K121:K123)</f>
        <v>79.400000000000006</v>
      </c>
      <c r="L120" s="149"/>
      <c r="M120" s="71">
        <f t="shared" ref="M120" si="177">SUM(M121:M123)</f>
        <v>68.06</v>
      </c>
      <c r="N120" s="149"/>
      <c r="O120" s="71">
        <f t="shared" ref="O120" si="178">SUM(O121:O123)</f>
        <v>68.81</v>
      </c>
      <c r="P120" s="149"/>
      <c r="Q120" s="71">
        <f t="shared" ref="Q120" si="179">SUM(Q121:Q123)</f>
        <v>74.11</v>
      </c>
      <c r="R120" s="149"/>
      <c r="S120" s="71">
        <f t="shared" ref="S120" si="180">SUM(S121:S123)</f>
        <v>79.400000000000006</v>
      </c>
      <c r="T120" s="7"/>
    </row>
    <row r="121" spans="1:20" ht="15" customHeight="1">
      <c r="A121" s="155" t="s">
        <v>219</v>
      </c>
      <c r="B121" s="286" t="s">
        <v>220</v>
      </c>
      <c r="C121" s="286"/>
      <c r="D121" s="286"/>
      <c r="E121" s="286"/>
      <c r="F121" s="286"/>
      <c r="G121" s="286"/>
      <c r="H121" s="156"/>
      <c r="I121" s="57">
        <f>'DADOS BÁSICOS LICITAÇÃO'!$D$46</f>
        <v>63.52</v>
      </c>
      <c r="J121" s="156"/>
      <c r="K121" s="57">
        <f>'DADOS BÁSICOS LICITAÇÃO'!$D$46</f>
        <v>63.52</v>
      </c>
      <c r="L121" s="156"/>
      <c r="M121" s="57">
        <f>'DADOS BÁSICOS LICITAÇÃO'!$D$46</f>
        <v>63.52</v>
      </c>
      <c r="N121" s="156"/>
      <c r="O121" s="57">
        <f>'DADOS BÁSICOS LICITAÇÃO'!$D$46</f>
        <v>63.52</v>
      </c>
      <c r="P121" s="156"/>
      <c r="Q121" s="57">
        <f>'DADOS BÁSICOS LICITAÇÃO'!$D$46</f>
        <v>63.52</v>
      </c>
      <c r="R121" s="156"/>
      <c r="S121" s="57">
        <f>'DADOS BÁSICOS LICITAÇÃO'!$D$46</f>
        <v>63.52</v>
      </c>
      <c r="T121" s="7"/>
    </row>
    <row r="122" spans="1:20" ht="15" customHeight="1">
      <c r="A122" s="158" t="s">
        <v>221</v>
      </c>
      <c r="B122" s="296" t="s">
        <v>223</v>
      </c>
      <c r="C122" s="296"/>
      <c r="D122" s="296"/>
      <c r="E122" s="296"/>
      <c r="F122" s="296"/>
      <c r="G122" s="296"/>
      <c r="H122" s="159">
        <f>(ROUNDUP(((H109*H11)/(365*0.6986)),0))/H11</f>
        <v>4.3499999999999997E-2</v>
      </c>
      <c r="I122" s="160">
        <f>'DADOS BÁSICOS LICITAÇÃO'!$D$46*H122</f>
        <v>2.76</v>
      </c>
      <c r="J122" s="159">
        <f t="shared" ref="J122" si="181">(ROUNDUP(((J109*J11)/(365*0.6986)),0))/J11</f>
        <v>0.25</v>
      </c>
      <c r="K122" s="160">
        <f>'DADOS BÁSICOS LICITAÇÃO'!$D$46*J122</f>
        <v>15.88</v>
      </c>
      <c r="L122" s="159">
        <f t="shared" ref="L122" si="182">(ROUNDUP(((L109*L11)/(365*0.6986)),0))/L11</f>
        <v>7.1400000000000005E-2</v>
      </c>
      <c r="M122" s="160">
        <f>'DADOS BÁSICOS LICITAÇÃO'!$D$46*L122</f>
        <v>4.54</v>
      </c>
      <c r="N122" s="159">
        <f t="shared" ref="N122" si="183">(ROUNDUP(((N109*N11)/(365*0.6986)),0))/N11</f>
        <v>8.3299999999999999E-2</v>
      </c>
      <c r="O122" s="160">
        <f>'DADOS BÁSICOS LICITAÇÃO'!$D$46*N122</f>
        <v>5.29</v>
      </c>
      <c r="P122" s="159">
        <f t="shared" ref="P122" si="184">(ROUNDUP(((P109*P11)/(365*0.6986)),0))/P11</f>
        <v>0.16669999999999999</v>
      </c>
      <c r="Q122" s="160">
        <f>'DADOS BÁSICOS LICITAÇÃO'!$D$46*P122</f>
        <v>10.59</v>
      </c>
      <c r="R122" s="159">
        <f t="shared" ref="R122" si="185">(ROUNDUP(((R109*R11)/(365*0.6986)),0))/R11</f>
        <v>0.25</v>
      </c>
      <c r="S122" s="160">
        <f>'DADOS BÁSICOS LICITAÇÃO'!$D$46*R122</f>
        <v>15.88</v>
      </c>
      <c r="T122" s="7"/>
    </row>
    <row r="123" spans="1:20" ht="15" customHeight="1">
      <c r="A123" s="108" t="s">
        <v>222</v>
      </c>
      <c r="B123" s="297" t="s">
        <v>209</v>
      </c>
      <c r="C123" s="297"/>
      <c r="D123" s="297"/>
      <c r="E123" s="297"/>
      <c r="F123" s="297"/>
      <c r="G123" s="297"/>
      <c r="H123" s="161">
        <v>0</v>
      </c>
      <c r="I123" s="162">
        <f>'DADOS BÁSICOS LICITAÇÃO'!$D$46*H123</f>
        <v>0</v>
      </c>
      <c r="J123" s="161">
        <v>0</v>
      </c>
      <c r="K123" s="162">
        <f>'DADOS BÁSICOS LICITAÇÃO'!$D$46*J123</f>
        <v>0</v>
      </c>
      <c r="L123" s="161">
        <v>0</v>
      </c>
      <c r="M123" s="162">
        <f>'DADOS BÁSICOS LICITAÇÃO'!$D$46*L123</f>
        <v>0</v>
      </c>
      <c r="N123" s="161">
        <v>0</v>
      </c>
      <c r="O123" s="162">
        <f>'DADOS BÁSICOS LICITAÇÃO'!$D$46*N123</f>
        <v>0</v>
      </c>
      <c r="P123" s="161">
        <v>0</v>
      </c>
      <c r="Q123" s="162">
        <f>'DADOS BÁSICOS LICITAÇÃO'!$D$46*P123</f>
        <v>0</v>
      </c>
      <c r="R123" s="161">
        <v>0</v>
      </c>
      <c r="S123" s="162">
        <f>'DADOS BÁSICOS LICITAÇÃO'!$D$46*R123</f>
        <v>0</v>
      </c>
      <c r="T123" s="7"/>
    </row>
    <row r="124" spans="1:20" ht="12.75" customHeight="1">
      <c r="A124" s="154" t="s">
        <v>60</v>
      </c>
      <c r="B124" s="295" t="s">
        <v>44</v>
      </c>
      <c r="C124" s="295"/>
      <c r="D124" s="295"/>
      <c r="E124" s="295"/>
      <c r="F124" s="295"/>
      <c r="G124" s="295"/>
      <c r="H124" s="149"/>
      <c r="I124" s="163">
        <f>'DADOS BÁSICOS LICITAÇÃO'!$D$50/H10</f>
        <v>0</v>
      </c>
      <c r="J124" s="149"/>
      <c r="K124" s="163">
        <f>'DADOS BÁSICOS LICITAÇÃO'!$D$50/J10</f>
        <v>0</v>
      </c>
      <c r="L124" s="149"/>
      <c r="M124" s="163">
        <f>'DADOS BÁSICOS LICITAÇÃO'!$D$50/L10</f>
        <v>0</v>
      </c>
      <c r="N124" s="149"/>
      <c r="O124" s="163">
        <f>'DADOS BÁSICOS LICITAÇÃO'!$D$50/N10</f>
        <v>0</v>
      </c>
      <c r="P124" s="149"/>
      <c r="Q124" s="163">
        <f>'DADOS BÁSICOS LICITAÇÃO'!$D$50/P10</f>
        <v>0</v>
      </c>
      <c r="R124" s="149"/>
      <c r="S124" s="163">
        <f>'DADOS BÁSICOS LICITAÇÃO'!$D$50/R10</f>
        <v>0</v>
      </c>
      <c r="T124" s="7"/>
    </row>
    <row r="125" spans="1:20" ht="16.5" customHeight="1">
      <c r="A125" s="154" t="s">
        <v>62</v>
      </c>
      <c r="B125" s="295" t="s">
        <v>47</v>
      </c>
      <c r="C125" s="295"/>
      <c r="D125" s="295"/>
      <c r="E125" s="295"/>
      <c r="F125" s="295"/>
      <c r="G125" s="295"/>
      <c r="H125" s="149"/>
      <c r="I125" s="163">
        <f>SUM(I126:I128)</f>
        <v>0.27</v>
      </c>
      <c r="J125" s="149"/>
      <c r="K125" s="163">
        <f t="shared" ref="K125" si="186">SUM(K126:K128)</f>
        <v>2.76</v>
      </c>
      <c r="L125" s="149"/>
      <c r="M125" s="163">
        <f t="shared" ref="M125" si="187">SUM(M126:M128)</f>
        <v>0.92</v>
      </c>
      <c r="N125" s="149"/>
      <c r="O125" s="163">
        <f t="shared" ref="O125" si="188">SUM(O126:O128)</f>
        <v>1.06</v>
      </c>
      <c r="P125" s="149"/>
      <c r="Q125" s="163">
        <f t="shared" ref="Q125" si="189">SUM(Q126:Q128)</f>
        <v>1.97</v>
      </c>
      <c r="R125" s="149"/>
      <c r="S125" s="163">
        <f t="shared" ref="S125" si="190">SUM(S126:S128)</f>
        <v>2.76</v>
      </c>
      <c r="T125" s="6"/>
    </row>
    <row r="126" spans="1:20" ht="12.75" customHeight="1">
      <c r="A126" s="69" t="s">
        <v>224</v>
      </c>
      <c r="B126" s="286" t="s">
        <v>226</v>
      </c>
      <c r="C126" s="286"/>
      <c r="D126" s="286"/>
      <c r="E126" s="286"/>
      <c r="F126" s="286"/>
      <c r="G126" s="286"/>
      <c r="H126" s="149"/>
      <c r="I126" s="163">
        <f>('DADOS BÁSICOS LICITAÇÃO'!$G$54/'DADOS BÁSICOS LICITAÇÃO'!$C$54)/($H$11+'TELEFONISTA 1º ANO'!$H$11)</f>
        <v>0.28999999999999998</v>
      </c>
      <c r="J126" s="149"/>
      <c r="K126" s="163">
        <f>('DADOS BÁSICOS LICITAÇÃO'!$G$54/'DADOS BÁSICOS LICITAÇÃO'!$C$54)/J$11</f>
        <v>3.45</v>
      </c>
      <c r="L126" s="149"/>
      <c r="M126" s="163">
        <f>('DADOS BÁSICOS LICITAÇÃO'!$G$54/'DADOS BÁSICOS LICITAÇÃO'!$C$54)/L$11</f>
        <v>0.99</v>
      </c>
      <c r="N126" s="149"/>
      <c r="O126" s="163">
        <f>('DADOS BÁSICOS LICITAÇÃO'!$G$54/'DADOS BÁSICOS LICITAÇÃO'!$C$54)/N$11</f>
        <v>1.1499999999999999</v>
      </c>
      <c r="P126" s="149"/>
      <c r="Q126" s="163">
        <f>('DADOS BÁSICOS LICITAÇÃO'!$G$54/'DADOS BÁSICOS LICITAÇÃO'!$C$54)/P$11</f>
        <v>2.2999999999999998</v>
      </c>
      <c r="R126" s="149"/>
      <c r="S126" s="163">
        <f>('DADOS BÁSICOS LICITAÇÃO'!$G$54/'DADOS BÁSICOS LICITAÇÃO'!$C$54)/R$11</f>
        <v>3.45</v>
      </c>
      <c r="T126" s="6"/>
    </row>
    <row r="127" spans="1:20" ht="16.5" customHeight="1">
      <c r="A127" s="158" t="s">
        <v>225</v>
      </c>
      <c r="B127" s="296" t="s">
        <v>227</v>
      </c>
      <c r="C127" s="296"/>
      <c r="D127" s="296"/>
      <c r="E127" s="296"/>
      <c r="F127" s="296"/>
      <c r="G127" s="296"/>
      <c r="H127" s="159"/>
      <c r="I127" s="165">
        <f>(('DADOS BÁSICOS LICITAÇÃO'!$G$54/'DADOS BÁSICOS LICITAÇÃO'!$C$54)/($H$11+'TELEFONISTA 1º ANO'!$H$11+(ROUNDUP(((H109*H11)/(365*0.6986)),0)+(ROUNDUP((('TELEFONISTA 1º ANO'!H109*'TELEFONISTA 1º ANO'!H11)/(365*0.6986)),0)))))-I126</f>
        <v>-0.02</v>
      </c>
      <c r="J127" s="159"/>
      <c r="K127" s="165">
        <f>(('DADOS BÁSICOS LICITAÇÃO'!$G$54/'DADOS BÁSICOS LICITAÇÃO'!$C$54)/(J$11+(ROUNDUP(((J109*J11)/(365*0.6986)),0))))-K126</f>
        <v>-0.69</v>
      </c>
      <c r="L127" s="159"/>
      <c r="M127" s="165">
        <f>(('DADOS BÁSICOS LICITAÇÃO'!$G$54/'DADOS BÁSICOS LICITAÇÃO'!$C$54)/(L$11+(ROUNDUP(((L109*L11)/(365*0.6986)),0))))-M126</f>
        <v>-7.0000000000000007E-2</v>
      </c>
      <c r="N127" s="159"/>
      <c r="O127" s="165">
        <f>(('DADOS BÁSICOS LICITAÇÃO'!$G$54/'DADOS BÁSICOS LICITAÇÃO'!$C$54)/(N$11+(ROUNDUP(((N109*N11)/(365*0.6986)),0))))-O126</f>
        <v>-0.09</v>
      </c>
      <c r="P127" s="159"/>
      <c r="Q127" s="165">
        <f>(('DADOS BÁSICOS LICITAÇÃO'!$G$54/'DADOS BÁSICOS LICITAÇÃO'!$C$54)/(P$11+(ROUNDUP(((P109*P11)/(365*0.6986)),0))))-Q126</f>
        <v>-0.33</v>
      </c>
      <c r="R127" s="159"/>
      <c r="S127" s="165">
        <f>(('DADOS BÁSICOS LICITAÇÃO'!$G$54/'DADOS BÁSICOS LICITAÇÃO'!$C$54)/(R$11+(ROUNDUP(((R109*R11)/(365*0.6986)),0))))-S126</f>
        <v>-0.69</v>
      </c>
      <c r="T127" s="6"/>
    </row>
    <row r="128" spans="1:20" ht="16.5" customHeight="1">
      <c r="A128" s="108" t="s">
        <v>225</v>
      </c>
      <c r="B128" s="297" t="s">
        <v>210</v>
      </c>
      <c r="C128" s="297"/>
      <c r="D128" s="297"/>
      <c r="E128" s="297"/>
      <c r="F128" s="297"/>
      <c r="G128" s="297"/>
      <c r="H128" s="161"/>
      <c r="I128" s="166">
        <v>0</v>
      </c>
      <c r="J128" s="161"/>
      <c r="K128" s="166">
        <v>0</v>
      </c>
      <c r="L128" s="161"/>
      <c r="M128" s="166">
        <v>0</v>
      </c>
      <c r="N128" s="161"/>
      <c r="O128" s="166">
        <v>0</v>
      </c>
      <c r="P128" s="161"/>
      <c r="Q128" s="166">
        <v>0</v>
      </c>
      <c r="R128" s="161"/>
      <c r="S128" s="166">
        <v>0</v>
      </c>
      <c r="T128" s="6"/>
    </row>
    <row r="129" spans="1:19">
      <c r="A129" s="287" t="s">
        <v>85</v>
      </c>
      <c r="B129" s="287"/>
      <c r="C129" s="287"/>
      <c r="D129" s="287"/>
      <c r="E129" s="287"/>
      <c r="F129" s="287"/>
      <c r="G129" s="287"/>
      <c r="H129" s="113"/>
      <c r="I129" s="167">
        <f>I120+I124+I125</f>
        <v>66.55</v>
      </c>
      <c r="J129" s="113"/>
      <c r="K129" s="167">
        <f>K120+K124+K125</f>
        <v>82.16</v>
      </c>
      <c r="L129" s="113"/>
      <c r="M129" s="167">
        <f>M120+M124+M125</f>
        <v>68.98</v>
      </c>
      <c r="N129" s="113"/>
      <c r="O129" s="167">
        <f>O120+O124+O125</f>
        <v>69.87</v>
      </c>
      <c r="P129" s="113"/>
      <c r="Q129" s="167">
        <f>Q120+Q124+Q125</f>
        <v>76.08</v>
      </c>
      <c r="R129" s="113"/>
      <c r="S129" s="167">
        <f>S120+S124+S125</f>
        <v>82.16</v>
      </c>
    </row>
    <row r="130" spans="1:19" ht="14.25" customHeight="1">
      <c r="A130" s="289" t="s">
        <v>148</v>
      </c>
      <c r="B130" s="289"/>
      <c r="C130" s="289"/>
      <c r="D130" s="289"/>
      <c r="E130" s="289"/>
      <c r="F130" s="289"/>
      <c r="G130" s="289"/>
      <c r="H130" s="132" t="s">
        <v>93</v>
      </c>
      <c r="I130" s="168">
        <f>I29</f>
        <v>1806.53</v>
      </c>
      <c r="J130" s="132" t="s">
        <v>93</v>
      </c>
      <c r="K130" s="168">
        <f>K29</f>
        <v>1806.53</v>
      </c>
      <c r="L130" s="132" t="s">
        <v>93</v>
      </c>
      <c r="M130" s="168">
        <f>M29</f>
        <v>1806.53</v>
      </c>
      <c r="N130" s="132" t="s">
        <v>93</v>
      </c>
      <c r="O130" s="168">
        <f>O29</f>
        <v>1806.53</v>
      </c>
      <c r="P130" s="132" t="s">
        <v>93</v>
      </c>
      <c r="Q130" s="168">
        <f>Q29</f>
        <v>1806.53</v>
      </c>
      <c r="R130" s="132" t="s">
        <v>93</v>
      </c>
      <c r="S130" s="168">
        <f>S29</f>
        <v>1806.53</v>
      </c>
    </row>
    <row r="131" spans="1:19">
      <c r="A131" s="289"/>
      <c r="B131" s="289"/>
      <c r="C131" s="289"/>
      <c r="D131" s="289"/>
      <c r="E131" s="289"/>
      <c r="F131" s="289"/>
      <c r="G131" s="289"/>
      <c r="H131" s="132" t="s">
        <v>94</v>
      </c>
      <c r="I131" s="168">
        <f>I80</f>
        <v>1756.49</v>
      </c>
      <c r="J131" s="132" t="s">
        <v>94</v>
      </c>
      <c r="K131" s="168">
        <f>K80</f>
        <v>1708.09</v>
      </c>
      <c r="L131" s="132" t="s">
        <v>94</v>
      </c>
      <c r="M131" s="168">
        <f>M80</f>
        <v>1745.49</v>
      </c>
      <c r="N131" s="132" t="s">
        <v>94</v>
      </c>
      <c r="O131" s="168">
        <f>O80</f>
        <v>1747.69</v>
      </c>
      <c r="P131" s="132" t="s">
        <v>94</v>
      </c>
      <c r="Q131" s="168">
        <f>Q80</f>
        <v>1721.29</v>
      </c>
      <c r="R131" s="132" t="s">
        <v>94</v>
      </c>
      <c r="S131" s="168">
        <f>S80</f>
        <v>1747.69</v>
      </c>
    </row>
    <row r="132" spans="1:19">
      <c r="A132" s="289"/>
      <c r="B132" s="289"/>
      <c r="C132" s="289"/>
      <c r="D132" s="289"/>
      <c r="E132" s="289"/>
      <c r="F132" s="289"/>
      <c r="G132" s="289"/>
      <c r="H132" s="132" t="s">
        <v>95</v>
      </c>
      <c r="I132" s="168">
        <f>I89</f>
        <v>169.34</v>
      </c>
      <c r="J132" s="132" t="s">
        <v>95</v>
      </c>
      <c r="K132" s="168">
        <f>K89</f>
        <v>169.34</v>
      </c>
      <c r="L132" s="132" t="s">
        <v>95</v>
      </c>
      <c r="M132" s="168">
        <f>M89</f>
        <v>169.34</v>
      </c>
      <c r="N132" s="132" t="s">
        <v>95</v>
      </c>
      <c r="O132" s="168">
        <f>O89</f>
        <v>169.34</v>
      </c>
      <c r="P132" s="132" t="s">
        <v>95</v>
      </c>
      <c r="Q132" s="168">
        <f>Q89</f>
        <v>169.34</v>
      </c>
      <c r="R132" s="132" t="s">
        <v>95</v>
      </c>
      <c r="S132" s="168">
        <f>S89</f>
        <v>169.34</v>
      </c>
    </row>
    <row r="133" spans="1:19">
      <c r="A133" s="289"/>
      <c r="B133" s="289"/>
      <c r="C133" s="289"/>
      <c r="D133" s="289"/>
      <c r="E133" s="289"/>
      <c r="F133" s="289"/>
      <c r="G133" s="289"/>
      <c r="H133" s="132" t="s">
        <v>96</v>
      </c>
      <c r="I133" s="168">
        <f>I117</f>
        <v>88.3</v>
      </c>
      <c r="J133" s="132" t="s">
        <v>96</v>
      </c>
      <c r="K133" s="168">
        <f>K117</f>
        <v>87.14</v>
      </c>
      <c r="L133" s="132" t="s">
        <v>96</v>
      </c>
      <c r="M133" s="168">
        <f>M117</f>
        <v>88.06</v>
      </c>
      <c r="N133" s="132" t="s">
        <v>96</v>
      </c>
      <c r="O133" s="168">
        <f>O117</f>
        <v>88.09</v>
      </c>
      <c r="P133" s="132" t="s">
        <v>96</v>
      </c>
      <c r="Q133" s="168">
        <f>Q117</f>
        <v>87.46</v>
      </c>
      <c r="R133" s="132" t="s">
        <v>96</v>
      </c>
      <c r="S133" s="168">
        <f>S117</f>
        <v>88.09</v>
      </c>
    </row>
    <row r="134" spans="1:19">
      <c r="A134" s="289"/>
      <c r="B134" s="289"/>
      <c r="C134" s="289"/>
      <c r="D134" s="289"/>
      <c r="E134" s="289"/>
      <c r="F134" s="289"/>
      <c r="G134" s="289"/>
      <c r="H134" s="132" t="s">
        <v>97</v>
      </c>
      <c r="I134" s="82">
        <f>I129</f>
        <v>66.55</v>
      </c>
      <c r="J134" s="132" t="s">
        <v>97</v>
      </c>
      <c r="K134" s="82">
        <f>K129</f>
        <v>82.16</v>
      </c>
      <c r="L134" s="132" t="s">
        <v>97</v>
      </c>
      <c r="M134" s="82">
        <f>M129</f>
        <v>68.98</v>
      </c>
      <c r="N134" s="132" t="s">
        <v>97</v>
      </c>
      <c r="O134" s="82">
        <f>O129</f>
        <v>69.87</v>
      </c>
      <c r="P134" s="132" t="s">
        <v>97</v>
      </c>
      <c r="Q134" s="82">
        <f>Q129</f>
        <v>76.08</v>
      </c>
      <c r="R134" s="132" t="s">
        <v>97</v>
      </c>
      <c r="S134" s="82">
        <f>S129</f>
        <v>82.16</v>
      </c>
    </row>
    <row r="135" spans="1:19">
      <c r="A135" s="289"/>
      <c r="B135" s="289"/>
      <c r="C135" s="289"/>
      <c r="D135" s="289"/>
      <c r="E135" s="289"/>
      <c r="F135" s="289"/>
      <c r="G135" s="289"/>
      <c r="H135" s="132" t="s">
        <v>85</v>
      </c>
      <c r="I135" s="82">
        <f>SUM(I130:I134)</f>
        <v>3887.21</v>
      </c>
      <c r="J135" s="132" t="s">
        <v>85</v>
      </c>
      <c r="K135" s="82">
        <f>SUM(K130:K134)</f>
        <v>3853.26</v>
      </c>
      <c r="L135" s="132" t="s">
        <v>85</v>
      </c>
      <c r="M135" s="82">
        <f>SUM(M130:M134)</f>
        <v>3878.4</v>
      </c>
      <c r="N135" s="132" t="s">
        <v>85</v>
      </c>
      <c r="O135" s="82">
        <f>SUM(O130:O134)</f>
        <v>3881.52</v>
      </c>
      <c r="P135" s="132" t="s">
        <v>85</v>
      </c>
      <c r="Q135" s="82">
        <f>SUM(Q130:Q134)</f>
        <v>3860.7</v>
      </c>
      <c r="R135" s="132" t="s">
        <v>85</v>
      </c>
      <c r="S135" s="82">
        <f>SUM(S130:S134)</f>
        <v>3893.81</v>
      </c>
    </row>
    <row r="136" spans="1:19" ht="24" customHeight="1">
      <c r="A136" s="88" t="s">
        <v>149</v>
      </c>
      <c r="B136" s="88"/>
      <c r="C136" s="88"/>
      <c r="D136" s="88"/>
      <c r="E136" s="88"/>
      <c r="F136" s="88"/>
      <c r="G136" s="88"/>
      <c r="H136" s="89"/>
      <c r="I136" s="90"/>
      <c r="J136" s="89"/>
      <c r="K136" s="90"/>
      <c r="L136" s="89"/>
      <c r="M136" s="90"/>
      <c r="N136" s="89"/>
      <c r="O136" s="90"/>
      <c r="P136" s="89"/>
      <c r="Q136" s="90"/>
      <c r="R136" s="89"/>
      <c r="S136" s="90"/>
    </row>
    <row r="137" spans="1:19">
      <c r="A137" s="66">
        <v>6</v>
      </c>
      <c r="B137" s="290" t="s">
        <v>150</v>
      </c>
      <c r="C137" s="290"/>
      <c r="D137" s="290"/>
      <c r="E137" s="290"/>
      <c r="F137" s="290"/>
      <c r="G137" s="290"/>
      <c r="H137" s="67" t="s">
        <v>78</v>
      </c>
      <c r="I137" s="68" t="s">
        <v>79</v>
      </c>
      <c r="J137" s="67" t="s">
        <v>78</v>
      </c>
      <c r="K137" s="68" t="s">
        <v>79</v>
      </c>
      <c r="L137" s="67" t="s">
        <v>78</v>
      </c>
      <c r="M137" s="68" t="s">
        <v>79</v>
      </c>
      <c r="N137" s="67" t="s">
        <v>78</v>
      </c>
      <c r="O137" s="68" t="s">
        <v>79</v>
      </c>
      <c r="P137" s="67" t="s">
        <v>78</v>
      </c>
      <c r="Q137" s="68" t="s">
        <v>79</v>
      </c>
      <c r="R137" s="67" t="s">
        <v>78</v>
      </c>
      <c r="S137" s="68" t="s">
        <v>79</v>
      </c>
    </row>
    <row r="138" spans="1:19">
      <c r="A138" s="69" t="s">
        <v>58</v>
      </c>
      <c r="B138" s="291" t="s">
        <v>151</v>
      </c>
      <c r="C138" s="292"/>
      <c r="D138" s="292"/>
      <c r="E138" s="292"/>
      <c r="F138" s="292"/>
      <c r="G138" s="293"/>
      <c r="H138" s="124">
        <f>'DADOS BÁSICOS LICITAÇÃO'!$S8</f>
        <v>0.05</v>
      </c>
      <c r="I138" s="71">
        <f>(H138*I135)</f>
        <v>194.36</v>
      </c>
      <c r="J138" s="124">
        <f>'DADOS BÁSICOS LICITAÇÃO'!$S9</f>
        <v>0.05</v>
      </c>
      <c r="K138" s="71">
        <f>(J138*K135)</f>
        <v>192.66</v>
      </c>
      <c r="L138" s="124">
        <f>'DADOS BÁSICOS LICITAÇÃO'!$S10</f>
        <v>0.05</v>
      </c>
      <c r="M138" s="71">
        <f>(L138*M135)</f>
        <v>193.92</v>
      </c>
      <c r="N138" s="124">
        <f>'DADOS BÁSICOS LICITAÇÃO'!$S11</f>
        <v>0.05</v>
      </c>
      <c r="O138" s="71">
        <f>(N138*O135)</f>
        <v>194.08</v>
      </c>
      <c r="P138" s="124">
        <f>'DADOS BÁSICOS LICITAÇÃO'!$S12</f>
        <v>0.05</v>
      </c>
      <c r="Q138" s="71">
        <f>(P138*Q135)</f>
        <v>193.04</v>
      </c>
      <c r="R138" s="124">
        <f>'DADOS BÁSICOS LICITAÇÃO'!$S13</f>
        <v>0.05</v>
      </c>
      <c r="S138" s="71">
        <f>(R138*S135)</f>
        <v>194.69</v>
      </c>
    </row>
    <row r="139" spans="1:19">
      <c r="A139" s="69" t="s">
        <v>60</v>
      </c>
      <c r="B139" s="291" t="s">
        <v>152</v>
      </c>
      <c r="C139" s="292"/>
      <c r="D139" s="292"/>
      <c r="E139" s="292"/>
      <c r="F139" s="292"/>
      <c r="G139" s="293"/>
      <c r="H139" s="124">
        <f>'DADOS BÁSICOS LICITAÇÃO'!$T8</f>
        <v>0.05</v>
      </c>
      <c r="I139" s="71">
        <f>H139*(I135+I138)</f>
        <v>204.08</v>
      </c>
      <c r="J139" s="124">
        <f>'DADOS BÁSICOS LICITAÇÃO'!$T9</f>
        <v>0.05</v>
      </c>
      <c r="K139" s="71">
        <f>J139*(K135+K138)</f>
        <v>202.3</v>
      </c>
      <c r="L139" s="124">
        <f>'DADOS BÁSICOS LICITAÇÃO'!$T10</f>
        <v>0.05</v>
      </c>
      <c r="M139" s="71">
        <f>L139*(M135+M138)</f>
        <v>203.62</v>
      </c>
      <c r="N139" s="124">
        <f>'DADOS BÁSICOS LICITAÇÃO'!$T11</f>
        <v>0.05</v>
      </c>
      <c r="O139" s="71">
        <f>N139*(O135+O138)</f>
        <v>203.78</v>
      </c>
      <c r="P139" s="124">
        <f>'DADOS BÁSICOS LICITAÇÃO'!$T12</f>
        <v>0.05</v>
      </c>
      <c r="Q139" s="71">
        <f>P139*(Q135+Q138)</f>
        <v>202.69</v>
      </c>
      <c r="R139" s="124">
        <f>'DADOS BÁSICOS LICITAÇÃO'!$T13</f>
        <v>0.05</v>
      </c>
      <c r="S139" s="71">
        <f>R139*(S135+S138)</f>
        <v>204.43</v>
      </c>
    </row>
    <row r="140" spans="1:19">
      <c r="A140" s="69" t="s">
        <v>62</v>
      </c>
      <c r="B140" s="294" t="s">
        <v>153</v>
      </c>
      <c r="C140" s="294"/>
      <c r="D140" s="294"/>
      <c r="E140" s="294"/>
      <c r="F140" s="294"/>
      <c r="G140" s="294"/>
      <c r="H140" s="169">
        <f>SUM(H141+H142+H143)</f>
        <v>8.6499999999999994E-2</v>
      </c>
      <c r="I140" s="170">
        <f>SUM(I141:I143)</f>
        <v>405.8</v>
      </c>
      <c r="J140" s="169">
        <f>SUM(J141+J142+J143)</f>
        <v>8.6499999999999994E-2</v>
      </c>
      <c r="K140" s="170">
        <f>SUM(K141:K143)</f>
        <v>402.26</v>
      </c>
      <c r="L140" s="169">
        <f>SUM(L141+L142+L143)</f>
        <v>7.6499999999999999E-2</v>
      </c>
      <c r="M140" s="170">
        <f>SUM(M141:M143)</f>
        <v>354.21</v>
      </c>
      <c r="N140" s="169">
        <f>SUM(N141+N142+N143)</f>
        <v>6.6500000000000004E-2</v>
      </c>
      <c r="O140" s="170">
        <f>SUM(O141:O143)</f>
        <v>304.86</v>
      </c>
      <c r="P140" s="169">
        <f>SUM(P141+P142+P143)</f>
        <v>7.6499999999999999E-2</v>
      </c>
      <c r="Q140" s="170">
        <f>SUM(Q141:Q143)</f>
        <v>352.59</v>
      </c>
      <c r="R140" s="169">
        <f>SUM(R141+R142+R143)</f>
        <v>8.6499999999999994E-2</v>
      </c>
      <c r="S140" s="170">
        <f>SUM(S141:S143)</f>
        <v>406.5</v>
      </c>
    </row>
    <row r="141" spans="1:19" ht="12.75" customHeight="1">
      <c r="A141" s="154"/>
      <c r="B141" s="286" t="s">
        <v>154</v>
      </c>
      <c r="C141" s="286"/>
      <c r="D141" s="286"/>
      <c r="E141" s="286"/>
      <c r="F141" s="286"/>
      <c r="G141" s="286"/>
      <c r="H141" s="127">
        <f>IF('DADOS BÁSICOS LICITAÇÃO'!$B$25="LUCRO PRESUMIDO",'DADOS BÁSICOS LICITAÇÃO'!$B$28,'DADOS BÁSICOS LICITAÇÃO'!$C$28)</f>
        <v>0.03</v>
      </c>
      <c r="I141" s="71">
        <f>SUM(H141*I154)</f>
        <v>140.74</v>
      </c>
      <c r="J141" s="127">
        <f>IF('DADOS BÁSICOS LICITAÇÃO'!$B$25="LUCRO PRESUMIDO",'DADOS BÁSICOS LICITAÇÃO'!$B$28,'DADOS BÁSICOS LICITAÇÃO'!$C$28)</f>
        <v>0.03</v>
      </c>
      <c r="K141" s="71">
        <f>SUM(J141*K154)</f>
        <v>139.51</v>
      </c>
      <c r="L141" s="127">
        <f>IF('DADOS BÁSICOS LICITAÇÃO'!$B$25="LUCRO PRESUMIDO",'DADOS BÁSICOS LICITAÇÃO'!$B$28,'DADOS BÁSICOS LICITAÇÃO'!$C$28)</f>
        <v>0.03</v>
      </c>
      <c r="M141" s="71">
        <f>SUM(L141*M154)</f>
        <v>138.9</v>
      </c>
      <c r="N141" s="127">
        <f>IF('DADOS BÁSICOS LICITAÇÃO'!$B$25="LUCRO PRESUMIDO",'DADOS BÁSICOS LICITAÇÃO'!$B$28,'DADOS BÁSICOS LICITAÇÃO'!$C$28)</f>
        <v>0.03</v>
      </c>
      <c r="O141" s="71">
        <f>SUM(N141*O154)</f>
        <v>137.53</v>
      </c>
      <c r="P141" s="127">
        <f>IF('DADOS BÁSICOS LICITAÇÃO'!$B$25="LUCRO PRESUMIDO",'DADOS BÁSICOS LICITAÇÃO'!$B$28,'DADOS BÁSICOS LICITAÇÃO'!$C$28)</f>
        <v>0.03</v>
      </c>
      <c r="Q141" s="71">
        <f>SUM(P141*Q154)</f>
        <v>138.27000000000001</v>
      </c>
      <c r="R141" s="127">
        <f>IF('DADOS BÁSICOS LICITAÇÃO'!$B$25="LUCRO PRESUMIDO",'DADOS BÁSICOS LICITAÇÃO'!$B$28,'DADOS BÁSICOS LICITAÇÃO'!$C$28)</f>
        <v>0.03</v>
      </c>
      <c r="S141" s="71">
        <f>SUM(R141*S154)</f>
        <v>140.97999999999999</v>
      </c>
    </row>
    <row r="142" spans="1:19" ht="12.75" customHeight="1">
      <c r="A142" s="154"/>
      <c r="B142" s="286" t="s">
        <v>155</v>
      </c>
      <c r="C142" s="286"/>
      <c r="D142" s="286"/>
      <c r="E142" s="286"/>
      <c r="F142" s="286"/>
      <c r="G142" s="286"/>
      <c r="H142" s="127">
        <f>IF('DADOS BÁSICOS LICITAÇÃO'!$B$25="LUCRO PRESUMIDO",'DADOS BÁSICOS LICITAÇÃO'!$B$27,'DADOS BÁSICOS LICITAÇÃO'!$C$27)</f>
        <v>6.4999999999999997E-3</v>
      </c>
      <c r="I142" s="71">
        <f>SUM(H142*I154)</f>
        <v>30.49</v>
      </c>
      <c r="J142" s="127">
        <f>IF('DADOS BÁSICOS LICITAÇÃO'!$B$25="LUCRO PRESUMIDO",'DADOS BÁSICOS LICITAÇÃO'!$B$27,'DADOS BÁSICOS LICITAÇÃO'!$C$27)</f>
        <v>6.4999999999999997E-3</v>
      </c>
      <c r="K142" s="71">
        <f>SUM(J142*K154)</f>
        <v>30.23</v>
      </c>
      <c r="L142" s="127">
        <f>IF('DADOS BÁSICOS LICITAÇÃO'!$B$25="LUCRO PRESUMIDO",'DADOS BÁSICOS LICITAÇÃO'!$B$27,'DADOS BÁSICOS LICITAÇÃO'!$C$27)</f>
        <v>6.4999999999999997E-3</v>
      </c>
      <c r="M142" s="71">
        <f>SUM(L142*M154)</f>
        <v>30.1</v>
      </c>
      <c r="N142" s="127">
        <f>IF('DADOS BÁSICOS LICITAÇÃO'!$B$25="LUCRO PRESUMIDO",'DADOS BÁSICOS LICITAÇÃO'!$B$27,'DADOS BÁSICOS LICITAÇÃO'!$C$27)</f>
        <v>6.4999999999999997E-3</v>
      </c>
      <c r="O142" s="71">
        <f>SUM(N142*O154)</f>
        <v>29.8</v>
      </c>
      <c r="P142" s="127">
        <f>IF('DADOS BÁSICOS LICITAÇÃO'!$B$25="LUCRO PRESUMIDO",'DADOS BÁSICOS LICITAÇÃO'!$B$27,'DADOS BÁSICOS LICITAÇÃO'!$C$27)</f>
        <v>6.4999999999999997E-3</v>
      </c>
      <c r="Q142" s="71">
        <f>SUM(P142*Q154)</f>
        <v>29.96</v>
      </c>
      <c r="R142" s="127">
        <f>IF('DADOS BÁSICOS LICITAÇÃO'!$B$25="LUCRO PRESUMIDO",'DADOS BÁSICOS LICITAÇÃO'!$B$27,'DADOS BÁSICOS LICITAÇÃO'!$C$27)</f>
        <v>6.4999999999999997E-3</v>
      </c>
      <c r="S142" s="71">
        <f>SUM(R142*S154)</f>
        <v>30.55</v>
      </c>
    </row>
    <row r="143" spans="1:19" ht="12.75" customHeight="1">
      <c r="A143" s="154"/>
      <c r="B143" s="286" t="s">
        <v>156</v>
      </c>
      <c r="C143" s="286"/>
      <c r="D143" s="286"/>
      <c r="E143" s="286"/>
      <c r="F143" s="286"/>
      <c r="G143" s="286"/>
      <c r="H143" s="127">
        <f>'DADOS BÁSICOS LICITAÇÃO'!U8</f>
        <v>0.05</v>
      </c>
      <c r="I143" s="71">
        <f>SUM(H143*I154)</f>
        <v>234.57</v>
      </c>
      <c r="J143" s="127">
        <f>'DADOS BÁSICOS LICITAÇÃO'!U9</f>
        <v>0.05</v>
      </c>
      <c r="K143" s="71">
        <f>SUM(J143*K154)</f>
        <v>232.52</v>
      </c>
      <c r="L143" s="127">
        <f>'DADOS BÁSICOS LICITAÇÃO'!U10</f>
        <v>0.04</v>
      </c>
      <c r="M143" s="71">
        <f>SUM(L143*M154)</f>
        <v>185.21</v>
      </c>
      <c r="N143" s="127">
        <f>'DADOS BÁSICOS LICITAÇÃO'!U11</f>
        <v>0.03</v>
      </c>
      <c r="O143" s="71">
        <f>SUM(N143*O154)</f>
        <v>137.53</v>
      </c>
      <c r="P143" s="127">
        <f>'DADOS BÁSICOS LICITAÇÃO'!U12</f>
        <v>0.04</v>
      </c>
      <c r="Q143" s="71">
        <f>SUM(P143*Q154)</f>
        <v>184.36</v>
      </c>
      <c r="R143" s="127">
        <f>'DADOS BÁSICOS LICITAÇÃO'!U13</f>
        <v>0.05</v>
      </c>
      <c r="S143" s="71">
        <f>SUM(R143*S154)</f>
        <v>234.97</v>
      </c>
    </row>
    <row r="144" spans="1:19">
      <c r="A144" s="287" t="s">
        <v>85</v>
      </c>
      <c r="B144" s="287"/>
      <c r="C144" s="287"/>
      <c r="D144" s="287"/>
      <c r="E144" s="287"/>
      <c r="F144" s="287"/>
      <c r="G144" s="287"/>
      <c r="H144" s="171"/>
      <c r="I144" s="80">
        <f>SUM(I138+I139+I141+I142+I143)</f>
        <v>804.24</v>
      </c>
      <c r="J144" s="171"/>
      <c r="K144" s="80">
        <f>SUM(K138+K139+K141+K142+K143)</f>
        <v>797.22</v>
      </c>
      <c r="L144" s="171"/>
      <c r="M144" s="80">
        <f>SUM(M138+M139+M141+M142+M143)</f>
        <v>751.75</v>
      </c>
      <c r="N144" s="171"/>
      <c r="O144" s="80">
        <f>SUM(O138+O139+O141+O142+O143)</f>
        <v>702.72</v>
      </c>
      <c r="P144" s="171"/>
      <c r="Q144" s="80">
        <f>SUM(Q138+Q139+Q141+Q142+Q143)</f>
        <v>748.32</v>
      </c>
      <c r="R144" s="171"/>
      <c r="S144" s="80">
        <f>SUM(S138+S139+S141+S142+S143)</f>
        <v>805.62</v>
      </c>
    </row>
    <row r="145" spans="1:19" ht="19.5" customHeight="1">
      <c r="A145" s="172" t="s">
        <v>157</v>
      </c>
      <c r="B145" s="173"/>
      <c r="C145" s="173"/>
      <c r="D145" s="173"/>
      <c r="E145" s="173"/>
      <c r="F145" s="173"/>
      <c r="G145" s="173"/>
      <c r="H145" s="174"/>
      <c r="I145" s="175"/>
      <c r="J145" s="174"/>
      <c r="K145" s="175"/>
      <c r="L145" s="174"/>
      <c r="M145" s="175"/>
      <c r="N145" s="174"/>
      <c r="O145" s="175"/>
      <c r="P145" s="174"/>
      <c r="Q145" s="175"/>
      <c r="R145" s="174"/>
      <c r="S145" s="175"/>
    </row>
    <row r="146" spans="1:19" ht="12.75" customHeight="1">
      <c r="A146" s="288" t="s">
        <v>158</v>
      </c>
      <c r="B146" s="288"/>
      <c r="C146" s="288"/>
      <c r="D146" s="288"/>
      <c r="E146" s="288"/>
      <c r="F146" s="288"/>
      <c r="G146" s="288"/>
      <c r="H146" s="148"/>
      <c r="I146" s="84" t="s">
        <v>79</v>
      </c>
      <c r="J146" s="148"/>
      <c r="K146" s="84" t="s">
        <v>79</v>
      </c>
      <c r="L146" s="148"/>
      <c r="M146" s="84" t="s">
        <v>79</v>
      </c>
      <c r="N146" s="148"/>
      <c r="O146" s="84" t="s">
        <v>79</v>
      </c>
      <c r="P146" s="148"/>
      <c r="Q146" s="84" t="s">
        <v>79</v>
      </c>
      <c r="R146" s="148"/>
      <c r="S146" s="84" t="s">
        <v>79</v>
      </c>
    </row>
    <row r="147" spans="1:19" ht="12.75" customHeight="1">
      <c r="A147" s="176" t="s">
        <v>58</v>
      </c>
      <c r="B147" s="284" t="s">
        <v>159</v>
      </c>
      <c r="C147" s="284"/>
      <c r="D147" s="284"/>
      <c r="E147" s="284"/>
      <c r="F147" s="284"/>
      <c r="G147" s="284"/>
      <c r="H147" s="48"/>
      <c r="I147" s="177">
        <f>I29</f>
        <v>1806.53</v>
      </c>
      <c r="J147" s="48"/>
      <c r="K147" s="177">
        <f>K29</f>
        <v>1806.53</v>
      </c>
      <c r="L147" s="48"/>
      <c r="M147" s="177">
        <f>M29</f>
        <v>1806.53</v>
      </c>
      <c r="N147" s="48"/>
      <c r="O147" s="177">
        <f>O29</f>
        <v>1806.53</v>
      </c>
      <c r="P147" s="48"/>
      <c r="Q147" s="177">
        <f>Q29</f>
        <v>1806.53</v>
      </c>
      <c r="R147" s="48"/>
      <c r="S147" s="177">
        <f>S29</f>
        <v>1806.53</v>
      </c>
    </row>
    <row r="148" spans="1:19" ht="12.75" customHeight="1">
      <c r="A148" s="176" t="s">
        <v>60</v>
      </c>
      <c r="B148" s="284" t="s">
        <v>121</v>
      </c>
      <c r="C148" s="284"/>
      <c r="D148" s="284"/>
      <c r="E148" s="284"/>
      <c r="F148" s="284"/>
      <c r="G148" s="284"/>
      <c r="H148" s="178"/>
      <c r="I148" s="177">
        <f>I80</f>
        <v>1756.49</v>
      </c>
      <c r="J148" s="178"/>
      <c r="K148" s="177">
        <f>K80</f>
        <v>1708.09</v>
      </c>
      <c r="L148" s="178"/>
      <c r="M148" s="177">
        <f>M80</f>
        <v>1745.49</v>
      </c>
      <c r="N148" s="178"/>
      <c r="O148" s="177">
        <f>O80</f>
        <v>1747.69</v>
      </c>
      <c r="P148" s="178"/>
      <c r="Q148" s="177">
        <f>Q80</f>
        <v>1721.29</v>
      </c>
      <c r="R148" s="178"/>
      <c r="S148" s="177">
        <f>S80</f>
        <v>1747.69</v>
      </c>
    </row>
    <row r="149" spans="1:19" ht="12.75" customHeight="1">
      <c r="A149" s="176" t="s">
        <v>62</v>
      </c>
      <c r="B149" s="284" t="s">
        <v>160</v>
      </c>
      <c r="C149" s="284"/>
      <c r="D149" s="284"/>
      <c r="E149" s="284"/>
      <c r="F149" s="284"/>
      <c r="G149" s="284"/>
      <c r="H149" s="178"/>
      <c r="I149" s="177">
        <f>I89</f>
        <v>169.34</v>
      </c>
      <c r="J149" s="178"/>
      <c r="K149" s="177">
        <f>K89</f>
        <v>169.34</v>
      </c>
      <c r="L149" s="178"/>
      <c r="M149" s="177">
        <f>M89</f>
        <v>169.34</v>
      </c>
      <c r="N149" s="178"/>
      <c r="O149" s="177">
        <f>O89</f>
        <v>169.34</v>
      </c>
      <c r="P149" s="178"/>
      <c r="Q149" s="177">
        <f>Q89</f>
        <v>169.34</v>
      </c>
      <c r="R149" s="178"/>
      <c r="S149" s="177">
        <f>S89</f>
        <v>169.34</v>
      </c>
    </row>
    <row r="150" spans="1:19" ht="12.75" customHeight="1">
      <c r="A150" s="176" t="s">
        <v>64</v>
      </c>
      <c r="B150" s="284" t="s">
        <v>144</v>
      </c>
      <c r="C150" s="284"/>
      <c r="D150" s="284"/>
      <c r="E150" s="284"/>
      <c r="F150" s="284"/>
      <c r="G150" s="284"/>
      <c r="H150" s="178"/>
      <c r="I150" s="177">
        <f>I117</f>
        <v>88.3</v>
      </c>
      <c r="J150" s="178"/>
      <c r="K150" s="177">
        <f>K117</f>
        <v>87.14</v>
      </c>
      <c r="L150" s="178"/>
      <c r="M150" s="177">
        <f>M117</f>
        <v>88.06</v>
      </c>
      <c r="N150" s="178"/>
      <c r="O150" s="177">
        <f>O117</f>
        <v>88.09</v>
      </c>
      <c r="P150" s="178"/>
      <c r="Q150" s="177">
        <f>Q117</f>
        <v>87.46</v>
      </c>
      <c r="R150" s="178"/>
      <c r="S150" s="177">
        <f>S117</f>
        <v>88.09</v>
      </c>
    </row>
    <row r="151" spans="1:19" ht="12.75" customHeight="1">
      <c r="A151" s="176" t="s">
        <v>66</v>
      </c>
      <c r="B151" s="284" t="s">
        <v>161</v>
      </c>
      <c r="C151" s="284"/>
      <c r="D151" s="284"/>
      <c r="E151" s="284"/>
      <c r="F151" s="284"/>
      <c r="G151" s="284"/>
      <c r="H151" s="178"/>
      <c r="I151" s="177">
        <f>I129</f>
        <v>66.55</v>
      </c>
      <c r="J151" s="178"/>
      <c r="K151" s="177">
        <f>K129</f>
        <v>82.16</v>
      </c>
      <c r="L151" s="178"/>
      <c r="M151" s="177">
        <f>M129</f>
        <v>68.98</v>
      </c>
      <c r="N151" s="178"/>
      <c r="O151" s="177">
        <f>O129</f>
        <v>69.87</v>
      </c>
      <c r="P151" s="178"/>
      <c r="Q151" s="177">
        <f>Q129</f>
        <v>76.08</v>
      </c>
      <c r="R151" s="178"/>
      <c r="S151" s="177">
        <f>S129</f>
        <v>82.16</v>
      </c>
    </row>
    <row r="152" spans="1:19" ht="16.5" customHeight="1">
      <c r="A152" s="285" t="s">
        <v>162</v>
      </c>
      <c r="B152" s="285"/>
      <c r="C152" s="285"/>
      <c r="D152" s="285"/>
      <c r="E152" s="285"/>
      <c r="F152" s="285"/>
      <c r="G152" s="285"/>
      <c r="H152" s="179"/>
      <c r="I152" s="180">
        <f>SUM(I147:I151)</f>
        <v>3887.21</v>
      </c>
      <c r="J152" s="179"/>
      <c r="K152" s="180">
        <f>SUM(K147:K151)</f>
        <v>3853.26</v>
      </c>
      <c r="L152" s="179"/>
      <c r="M152" s="180">
        <f>SUM(M147:M151)</f>
        <v>3878.4</v>
      </c>
      <c r="N152" s="179"/>
      <c r="O152" s="180">
        <f>SUM(O147:O151)</f>
        <v>3881.52</v>
      </c>
      <c r="P152" s="179"/>
      <c r="Q152" s="180">
        <f>SUM(Q147:Q151)</f>
        <v>3860.7</v>
      </c>
      <c r="R152" s="179"/>
      <c r="S152" s="180">
        <f>SUM(S147:S151)</f>
        <v>3893.81</v>
      </c>
    </row>
    <row r="153" spans="1:19" ht="12.75" customHeight="1">
      <c r="A153" s="181" t="s">
        <v>84</v>
      </c>
      <c r="B153" s="286" t="s">
        <v>163</v>
      </c>
      <c r="C153" s="286"/>
      <c r="D153" s="286"/>
      <c r="E153" s="286"/>
      <c r="F153" s="286"/>
      <c r="G153" s="286"/>
      <c r="H153" s="48"/>
      <c r="I153" s="182">
        <f>I144</f>
        <v>804.24</v>
      </c>
      <c r="J153" s="48"/>
      <c r="K153" s="182">
        <f>K144</f>
        <v>797.22</v>
      </c>
      <c r="L153" s="48"/>
      <c r="M153" s="182">
        <f>M144</f>
        <v>751.75</v>
      </c>
      <c r="N153" s="48"/>
      <c r="O153" s="182">
        <f>O144</f>
        <v>702.72</v>
      </c>
      <c r="P153" s="48"/>
      <c r="Q153" s="182">
        <f>Q144</f>
        <v>748.32</v>
      </c>
      <c r="R153" s="48"/>
      <c r="S153" s="182">
        <f>S144</f>
        <v>805.62</v>
      </c>
    </row>
    <row r="154" spans="1:19" ht="16.5" customHeight="1" thickBot="1">
      <c r="A154" s="285" t="s">
        <v>164</v>
      </c>
      <c r="B154" s="285"/>
      <c r="C154" s="285"/>
      <c r="D154" s="285"/>
      <c r="E154" s="285"/>
      <c r="F154" s="285"/>
      <c r="G154" s="285"/>
      <c r="H154" s="183"/>
      <c r="I154" s="184">
        <f>SUM(I152+I138+I139)/(1-H140)</f>
        <v>4691.46</v>
      </c>
      <c r="J154" s="183"/>
      <c r="K154" s="184">
        <f>SUM(K152+K138+K139)/(1-J140)</f>
        <v>4650.49</v>
      </c>
      <c r="L154" s="183"/>
      <c r="M154" s="184">
        <f>SUM(M152+M138+M139)/(1-L140)</f>
        <v>4630.1499999999996</v>
      </c>
      <c r="N154" s="183"/>
      <c r="O154" s="184">
        <f>SUM(O152+O138+O139)/(1-N140)</f>
        <v>4584.2299999999996</v>
      </c>
      <c r="P154" s="183"/>
      <c r="Q154" s="184">
        <f>SUM(Q152+Q138+Q139)/(1-P140)</f>
        <v>4609.0200000000004</v>
      </c>
      <c r="R154" s="183"/>
      <c r="S154" s="184">
        <f>SUM(S152+S138+S139)/(1-R140)</f>
        <v>4699.43</v>
      </c>
    </row>
    <row r="155" spans="1:19" ht="19.5" customHeight="1">
      <c r="A155" s="172" t="s">
        <v>165</v>
      </c>
      <c r="B155" s="185"/>
      <c r="C155" s="185"/>
      <c r="D155" s="185"/>
      <c r="E155" s="185"/>
      <c r="F155" s="185"/>
      <c r="G155" s="185"/>
      <c r="H155" s="186" t="s">
        <v>166</v>
      </c>
      <c r="I155" s="185" t="s">
        <v>79</v>
      </c>
      <c r="J155" s="186" t="s">
        <v>166</v>
      </c>
      <c r="K155" s="185" t="s">
        <v>79</v>
      </c>
      <c r="L155" s="186" t="s">
        <v>166</v>
      </c>
      <c r="M155" s="185" t="s">
        <v>79</v>
      </c>
      <c r="N155" s="186" t="s">
        <v>166</v>
      </c>
      <c r="O155" s="185" t="s">
        <v>79</v>
      </c>
      <c r="P155" s="186" t="s">
        <v>166</v>
      </c>
      <c r="Q155" s="185" t="s">
        <v>79</v>
      </c>
      <c r="R155" s="186" t="s">
        <v>166</v>
      </c>
      <c r="S155" s="185" t="s">
        <v>79</v>
      </c>
    </row>
    <row r="156" spans="1:19">
      <c r="A156" s="43" t="s">
        <v>198</v>
      </c>
      <c r="B156" s="283" t="s">
        <v>25</v>
      </c>
      <c r="C156" s="283"/>
      <c r="D156" s="283"/>
      <c r="E156" s="283"/>
      <c r="F156" s="283"/>
      <c r="G156" s="283"/>
      <c r="H156" s="187">
        <f>H11</f>
        <v>46</v>
      </c>
      <c r="I156" s="188">
        <f>H156*I154</f>
        <v>215807.16</v>
      </c>
      <c r="J156" s="187">
        <f>J11</f>
        <v>4</v>
      </c>
      <c r="K156" s="188">
        <f>J156*K154</f>
        <v>18601.96</v>
      </c>
      <c r="L156" s="187">
        <f>L11</f>
        <v>14</v>
      </c>
      <c r="M156" s="188">
        <f>L156*M154</f>
        <v>64822.1</v>
      </c>
      <c r="N156" s="187">
        <f>N11</f>
        <v>12</v>
      </c>
      <c r="O156" s="188">
        <f>N156*O154</f>
        <v>55010.76</v>
      </c>
      <c r="P156" s="187">
        <f>P11</f>
        <v>6</v>
      </c>
      <c r="Q156" s="188">
        <f>P156*Q154</f>
        <v>27654.12</v>
      </c>
      <c r="R156" s="187">
        <f>R11</f>
        <v>4</v>
      </c>
      <c r="S156" s="188">
        <f>R156*S154</f>
        <v>18797.72</v>
      </c>
    </row>
    <row r="157" spans="1:19">
      <c r="I157" s="1"/>
    </row>
    <row r="158" spans="1:19">
      <c r="I158" s="6"/>
    </row>
    <row r="159" spans="1:19">
      <c r="I159" s="6"/>
    </row>
    <row r="160" spans="1:19">
      <c r="I160" s="1"/>
    </row>
    <row r="161" spans="9:9">
      <c r="I161" s="1"/>
    </row>
    <row r="162" spans="9:9">
      <c r="I162" s="1"/>
    </row>
    <row r="163" spans="9:9">
      <c r="I163" s="1"/>
    </row>
    <row r="164" spans="9:9">
      <c r="I164" s="1"/>
    </row>
    <row r="165" spans="9:9">
      <c r="I165" s="1"/>
    </row>
    <row r="166" spans="9:9">
      <c r="I166" s="1"/>
    </row>
    <row r="167" spans="9:9">
      <c r="I167" s="1"/>
    </row>
    <row r="168" spans="9:9">
      <c r="I168" s="1"/>
    </row>
    <row r="169" spans="9:9">
      <c r="I169" s="1"/>
    </row>
    <row r="170" spans="9:9">
      <c r="I170" s="1"/>
    </row>
    <row r="171" spans="9:9">
      <c r="I171" s="1"/>
    </row>
    <row r="172" spans="9:9">
      <c r="I172" s="1"/>
    </row>
    <row r="173" spans="9:9">
      <c r="I173" s="1"/>
    </row>
    <row r="174" spans="9:9">
      <c r="I174" s="1"/>
    </row>
    <row r="175" spans="9:9">
      <c r="I175" s="1"/>
    </row>
    <row r="176" spans="9:9">
      <c r="I176" s="1"/>
    </row>
    <row r="177" spans="9:9">
      <c r="I177" s="1"/>
    </row>
    <row r="178" spans="9:9">
      <c r="I178" s="1"/>
    </row>
    <row r="179" spans="9:9">
      <c r="I179" s="1"/>
    </row>
    <row r="180" spans="9:9">
      <c r="I180" s="1"/>
    </row>
    <row r="181" spans="9:9">
      <c r="I181" s="1"/>
    </row>
    <row r="182" spans="9:9">
      <c r="I182" s="1"/>
    </row>
    <row r="183" spans="9:9">
      <c r="I183" s="1"/>
    </row>
    <row r="184" spans="9:9">
      <c r="I184" s="1"/>
    </row>
    <row r="185" spans="9:9">
      <c r="I185" s="1"/>
    </row>
    <row r="186" spans="9:9">
      <c r="I186" s="1"/>
    </row>
    <row r="187" spans="9:9">
      <c r="I187" s="1"/>
    </row>
    <row r="188" spans="9:9">
      <c r="I188" s="1"/>
    </row>
    <row r="189" spans="9:9">
      <c r="I189" s="1"/>
    </row>
    <row r="190" spans="9:9">
      <c r="I190" s="1"/>
    </row>
    <row r="191" spans="9:9">
      <c r="I191" s="1"/>
    </row>
    <row r="192" spans="9:9">
      <c r="I192" s="1"/>
    </row>
    <row r="193" spans="9:9">
      <c r="I193" s="1"/>
    </row>
    <row r="194" spans="9:9">
      <c r="I194" s="1"/>
    </row>
    <row r="195" spans="9:9">
      <c r="I195" s="1"/>
    </row>
    <row r="196" spans="9:9">
      <c r="I196" s="1"/>
    </row>
    <row r="197" spans="9:9">
      <c r="I197" s="1"/>
    </row>
    <row r="198" spans="9:9">
      <c r="I198" s="1"/>
    </row>
    <row r="199" spans="9:9">
      <c r="I199" s="1"/>
    </row>
    <row r="200" spans="9:9">
      <c r="I200" s="1"/>
    </row>
    <row r="201" spans="9:9">
      <c r="I201" s="1"/>
    </row>
    <row r="202" spans="9:9">
      <c r="I202" s="1"/>
    </row>
    <row r="203" spans="9:9">
      <c r="I203" s="1"/>
    </row>
    <row r="204" spans="9:9">
      <c r="I204" s="1"/>
    </row>
    <row r="205" spans="9:9">
      <c r="I205" s="1"/>
    </row>
    <row r="206" spans="9:9">
      <c r="I206" s="1"/>
    </row>
    <row r="207" spans="9:9">
      <c r="I207" s="1"/>
    </row>
    <row r="208" spans="9:9">
      <c r="I208" s="1"/>
    </row>
    <row r="209" spans="9:9">
      <c r="I209" s="1"/>
    </row>
    <row r="210" spans="9:9">
      <c r="I210" s="1"/>
    </row>
    <row r="211" spans="9:9">
      <c r="I211" s="1"/>
    </row>
    <row r="212" spans="9:9">
      <c r="I212" s="1"/>
    </row>
    <row r="213" spans="9:9">
      <c r="I213" s="1"/>
    </row>
    <row r="214" spans="9:9">
      <c r="I214" s="1"/>
    </row>
    <row r="215" spans="9:9">
      <c r="I215" s="1"/>
    </row>
    <row r="216" spans="9:9">
      <c r="I216" s="1"/>
    </row>
    <row r="217" spans="9:9">
      <c r="I217" s="1"/>
    </row>
    <row r="218" spans="9:9">
      <c r="I218" s="1"/>
    </row>
    <row r="219" spans="9:9">
      <c r="I219" s="1"/>
    </row>
    <row r="220" spans="9:9">
      <c r="I220" s="1"/>
    </row>
    <row r="221" spans="9:9">
      <c r="I221" s="1"/>
    </row>
    <row r="222" spans="9:9">
      <c r="I222" s="1"/>
    </row>
    <row r="223" spans="9:9">
      <c r="I223" s="1"/>
    </row>
    <row r="224" spans="9:9">
      <c r="I224" s="1"/>
    </row>
    <row r="225" spans="9:9">
      <c r="I225" s="1"/>
    </row>
    <row r="226" spans="9:9">
      <c r="I226" s="1"/>
    </row>
    <row r="227" spans="9:9">
      <c r="I227" s="1"/>
    </row>
    <row r="228" spans="9:9">
      <c r="I228" s="1"/>
    </row>
    <row r="229" spans="9:9">
      <c r="I229" s="1"/>
    </row>
    <row r="230" spans="9:9">
      <c r="I230" s="1"/>
    </row>
    <row r="231" spans="9:9">
      <c r="I231" s="1"/>
    </row>
    <row r="232" spans="9:9">
      <c r="I232" s="1"/>
    </row>
    <row r="233" spans="9:9">
      <c r="I233" s="1"/>
    </row>
    <row r="234" spans="9:9">
      <c r="I234" s="1"/>
    </row>
    <row r="235" spans="9:9">
      <c r="I235" s="1"/>
    </row>
    <row r="236" spans="9:9">
      <c r="I236" s="1"/>
    </row>
    <row r="237" spans="9:9">
      <c r="I237" s="1"/>
    </row>
    <row r="238" spans="9:9">
      <c r="I238" s="1"/>
    </row>
    <row r="239" spans="9:9">
      <c r="I239" s="1"/>
    </row>
    <row r="240" spans="9:9">
      <c r="I240" s="1"/>
    </row>
    <row r="241" spans="9:9">
      <c r="I241" s="1"/>
    </row>
    <row r="242" spans="9:9">
      <c r="I242" s="1"/>
    </row>
    <row r="243" spans="9:9">
      <c r="I243" s="1"/>
    </row>
    <row r="244" spans="9:9">
      <c r="I244" s="1"/>
    </row>
    <row r="245" spans="9:9">
      <c r="I245" s="1"/>
    </row>
    <row r="246" spans="9:9">
      <c r="I246" s="1"/>
    </row>
    <row r="247" spans="9:9">
      <c r="I247" s="1"/>
    </row>
    <row r="248" spans="9:9">
      <c r="I248" s="1"/>
    </row>
    <row r="249" spans="9:9">
      <c r="I249" s="1"/>
    </row>
    <row r="250" spans="9:9">
      <c r="I250" s="1"/>
    </row>
    <row r="251" spans="9:9">
      <c r="I251" s="1"/>
    </row>
    <row r="252" spans="9:9">
      <c r="I252" s="1"/>
    </row>
    <row r="253" spans="9:9">
      <c r="I253" s="1"/>
    </row>
    <row r="254" spans="9:9">
      <c r="I254" s="1"/>
    </row>
    <row r="255" spans="9:9">
      <c r="I255" s="1"/>
    </row>
    <row r="256" spans="9:9">
      <c r="I256" s="1"/>
    </row>
    <row r="257" spans="9:9">
      <c r="I257" s="1"/>
    </row>
    <row r="258" spans="9:9">
      <c r="I258" s="1"/>
    </row>
    <row r="259" spans="9:9">
      <c r="I259" s="1"/>
    </row>
    <row r="260" spans="9:9">
      <c r="I260" s="1"/>
    </row>
    <row r="261" spans="9:9">
      <c r="I261" s="1"/>
    </row>
    <row r="262" spans="9:9">
      <c r="I262" s="1"/>
    </row>
    <row r="263" spans="9:9">
      <c r="I263" s="1"/>
    </row>
    <row r="264" spans="9:9">
      <c r="I264" s="1"/>
    </row>
    <row r="265" spans="9:9">
      <c r="I265" s="1"/>
    </row>
    <row r="266" spans="9:9">
      <c r="I266" s="1"/>
    </row>
    <row r="267" spans="9:9">
      <c r="I267" s="1"/>
    </row>
    <row r="268" spans="9:9">
      <c r="I268" s="1"/>
    </row>
    <row r="269" spans="9:9">
      <c r="I269" s="1"/>
    </row>
    <row r="270" spans="9:9">
      <c r="I270" s="1"/>
    </row>
    <row r="271" spans="9:9">
      <c r="I271" s="1"/>
    </row>
    <row r="272" spans="9:9">
      <c r="I272" s="1"/>
    </row>
    <row r="273" spans="9:9">
      <c r="I273" s="1"/>
    </row>
  </sheetData>
  <sheetProtection algorithmName="SHA-512" hashValue="ezbHJAcWE2w3ziejskrnGW9JZ1zIikbLSQy89WD7opogiUrCCoRTY8Yl9boyQbyBf0eXoeWBXwsJilbAF/GsMw==" saltValue="FLa9kg2a1p2sjAFHDnwWkQ==" spinCount="100000" sheet="1" objects="1" scenarios="1"/>
  <mergeCells count="231">
    <mergeCell ref="R18:S18"/>
    <mergeCell ref="B83:G83"/>
    <mergeCell ref="B82:G82"/>
    <mergeCell ref="A29:G29"/>
    <mergeCell ref="B31:G31"/>
    <mergeCell ref="B32:G32"/>
    <mergeCell ref="B33:G33"/>
    <mergeCell ref="A40:G40"/>
    <mergeCell ref="B22:G22"/>
    <mergeCell ref="B23:G23"/>
    <mergeCell ref="B24:G24"/>
    <mergeCell ref="B25:G25"/>
    <mergeCell ref="B26:G26"/>
    <mergeCell ref="B27:G27"/>
    <mergeCell ref="B28:D28"/>
    <mergeCell ref="E28:G28"/>
    <mergeCell ref="C34:G34"/>
    <mergeCell ref="C35:G35"/>
    <mergeCell ref="C37:G37"/>
    <mergeCell ref="C38:G38"/>
    <mergeCell ref="C39:G39"/>
    <mergeCell ref="B50:G50"/>
    <mergeCell ref="B51:G51"/>
    <mergeCell ref="B52:G52"/>
    <mergeCell ref="A1:S1"/>
    <mergeCell ref="A6:S6"/>
    <mergeCell ref="R7:S7"/>
    <mergeCell ref="B8:G8"/>
    <mergeCell ref="H8:I8"/>
    <mergeCell ref="J8:K8"/>
    <mergeCell ref="L8:M8"/>
    <mergeCell ref="N8:O8"/>
    <mergeCell ref="P8:Q8"/>
    <mergeCell ref="R8:S8"/>
    <mergeCell ref="B7:G7"/>
    <mergeCell ref="H7:I7"/>
    <mergeCell ref="J7:K7"/>
    <mergeCell ref="L7:M7"/>
    <mergeCell ref="N7:O7"/>
    <mergeCell ref="P7:Q7"/>
    <mergeCell ref="A2:B2"/>
    <mergeCell ref="A3:B3"/>
    <mergeCell ref="A4:B4"/>
    <mergeCell ref="A5:B5"/>
    <mergeCell ref="C2:D2"/>
    <mergeCell ref="C3:D3"/>
    <mergeCell ref="C4:D4"/>
    <mergeCell ref="C5:D5"/>
    <mergeCell ref="B10:G10"/>
    <mergeCell ref="H10:I10"/>
    <mergeCell ref="J10:K10"/>
    <mergeCell ref="L10:M10"/>
    <mergeCell ref="N10:O10"/>
    <mergeCell ref="P10:Q10"/>
    <mergeCell ref="R10:S10"/>
    <mergeCell ref="B9:G9"/>
    <mergeCell ref="H9:I9"/>
    <mergeCell ref="J9:K9"/>
    <mergeCell ref="L9:M9"/>
    <mergeCell ref="N9:O9"/>
    <mergeCell ref="P9:Q9"/>
    <mergeCell ref="R9:S9"/>
    <mergeCell ref="N16:O16"/>
    <mergeCell ref="P16:Q16"/>
    <mergeCell ref="R16:S16"/>
    <mergeCell ref="B15:G15"/>
    <mergeCell ref="H15:I15"/>
    <mergeCell ref="R11:S11"/>
    <mergeCell ref="B13:G13"/>
    <mergeCell ref="H13:I13"/>
    <mergeCell ref="J13:K13"/>
    <mergeCell ref="L13:M13"/>
    <mergeCell ref="N13:O13"/>
    <mergeCell ref="P13:Q13"/>
    <mergeCell ref="R13:S13"/>
    <mergeCell ref="B11:G11"/>
    <mergeCell ref="H11:I11"/>
    <mergeCell ref="J11:K11"/>
    <mergeCell ref="L11:M11"/>
    <mergeCell ref="N11:O11"/>
    <mergeCell ref="P11:Q11"/>
    <mergeCell ref="H18:I18"/>
    <mergeCell ref="J18:K18"/>
    <mergeCell ref="L18:M18"/>
    <mergeCell ref="N18:O18"/>
    <mergeCell ref="P18:Q18"/>
    <mergeCell ref="R14:S14"/>
    <mergeCell ref="B17:G17"/>
    <mergeCell ref="H17:I17"/>
    <mergeCell ref="J17:K17"/>
    <mergeCell ref="L17:M17"/>
    <mergeCell ref="N17:O17"/>
    <mergeCell ref="P17:Q17"/>
    <mergeCell ref="R17:S17"/>
    <mergeCell ref="B14:G14"/>
    <mergeCell ref="H14:I14"/>
    <mergeCell ref="J14:K14"/>
    <mergeCell ref="L14:M14"/>
    <mergeCell ref="N14:O14"/>
    <mergeCell ref="P14:Q14"/>
    <mergeCell ref="R15:S15"/>
    <mergeCell ref="B16:G16"/>
    <mergeCell ref="H16:I16"/>
    <mergeCell ref="J16:K16"/>
    <mergeCell ref="L16:M16"/>
    <mergeCell ref="B53:G53"/>
    <mergeCell ref="A54:G54"/>
    <mergeCell ref="B56:G56"/>
    <mergeCell ref="A41:G43"/>
    <mergeCell ref="B45:G45"/>
    <mergeCell ref="B46:G46"/>
    <mergeCell ref="B47:G47"/>
    <mergeCell ref="B48:G48"/>
    <mergeCell ref="B49:G49"/>
    <mergeCell ref="S61:S64"/>
    <mergeCell ref="B62:G62"/>
    <mergeCell ref="B63:G63"/>
    <mergeCell ref="B64:G64"/>
    <mergeCell ref="B65:G65"/>
    <mergeCell ref="B66:G66"/>
    <mergeCell ref="S57:S60"/>
    <mergeCell ref="B58:G58"/>
    <mergeCell ref="B59:G59"/>
    <mergeCell ref="B60:G60"/>
    <mergeCell ref="B61:G61"/>
    <mergeCell ref="I61:I64"/>
    <mergeCell ref="K61:K64"/>
    <mergeCell ref="M61:M64"/>
    <mergeCell ref="O61:O64"/>
    <mergeCell ref="Q61:Q64"/>
    <mergeCell ref="B57:G57"/>
    <mergeCell ref="I57:I60"/>
    <mergeCell ref="K57:K60"/>
    <mergeCell ref="M57:M60"/>
    <mergeCell ref="O57:O60"/>
    <mergeCell ref="Q57:Q60"/>
    <mergeCell ref="B76:G76"/>
    <mergeCell ref="B77:G77"/>
    <mergeCell ref="B78:G78"/>
    <mergeCell ref="B79:G79"/>
    <mergeCell ref="A80:G80"/>
    <mergeCell ref="B67:G67"/>
    <mergeCell ref="B68:G68"/>
    <mergeCell ref="B70:G70"/>
    <mergeCell ref="B72:G72"/>
    <mergeCell ref="B73:G73"/>
    <mergeCell ref="A74:G74"/>
    <mergeCell ref="B71:G71"/>
    <mergeCell ref="B69:G69"/>
    <mergeCell ref="B84:G84"/>
    <mergeCell ref="B86:G86"/>
    <mergeCell ref="B87:G87"/>
    <mergeCell ref="B97:G97"/>
    <mergeCell ref="B98:G98"/>
    <mergeCell ref="B99:G99"/>
    <mergeCell ref="B100:G100"/>
    <mergeCell ref="B101:G101"/>
    <mergeCell ref="B102:G102"/>
    <mergeCell ref="B88:G88"/>
    <mergeCell ref="B85:G85"/>
    <mergeCell ref="B107:G107"/>
    <mergeCell ref="B108:G108"/>
    <mergeCell ref="A109:G109"/>
    <mergeCell ref="B110:G110"/>
    <mergeCell ref="B111:G111"/>
    <mergeCell ref="A112:G112"/>
    <mergeCell ref="A89:G89"/>
    <mergeCell ref="A90:G93"/>
    <mergeCell ref="B96:G96"/>
    <mergeCell ref="B105:G105"/>
    <mergeCell ref="B106:G106"/>
    <mergeCell ref="B103:G103"/>
    <mergeCell ref="B104:G104"/>
    <mergeCell ref="B114:G114"/>
    <mergeCell ref="B115:G115"/>
    <mergeCell ref="B116:G116"/>
    <mergeCell ref="A117:G117"/>
    <mergeCell ref="B119:G119"/>
    <mergeCell ref="B120:G120"/>
    <mergeCell ref="B121:G121"/>
    <mergeCell ref="B122:G122"/>
    <mergeCell ref="B123:G123"/>
    <mergeCell ref="B150:G150"/>
    <mergeCell ref="B151:G151"/>
    <mergeCell ref="A152:G152"/>
    <mergeCell ref="B153:G153"/>
    <mergeCell ref="A154:G154"/>
    <mergeCell ref="B156:G156"/>
    <mergeCell ref="B143:G143"/>
    <mergeCell ref="A144:G144"/>
    <mergeCell ref="A146:G146"/>
    <mergeCell ref="B147:G147"/>
    <mergeCell ref="B148:G148"/>
    <mergeCell ref="B149:G149"/>
    <mergeCell ref="B138:G138"/>
    <mergeCell ref="B139:G139"/>
    <mergeCell ref="B140:G140"/>
    <mergeCell ref="B141:G141"/>
    <mergeCell ref="B142:G142"/>
    <mergeCell ref="B124:G124"/>
    <mergeCell ref="B125:G125"/>
    <mergeCell ref="B128:G128"/>
    <mergeCell ref="A129:G129"/>
    <mergeCell ref="A130:G135"/>
    <mergeCell ref="B137:G137"/>
    <mergeCell ref="B126:G126"/>
    <mergeCell ref="B127:G127"/>
    <mergeCell ref="E2:S2"/>
    <mergeCell ref="E3:S3"/>
    <mergeCell ref="E4:S4"/>
    <mergeCell ref="E5:S5"/>
    <mergeCell ref="C36:G36"/>
    <mergeCell ref="J15:K15"/>
    <mergeCell ref="L15:M15"/>
    <mergeCell ref="N15:O15"/>
    <mergeCell ref="P15:Q15"/>
    <mergeCell ref="R19:S19"/>
    <mergeCell ref="B20:G20"/>
    <mergeCell ref="H20:I20"/>
    <mergeCell ref="J20:K20"/>
    <mergeCell ref="L20:M20"/>
    <mergeCell ref="N20:O20"/>
    <mergeCell ref="P20:Q20"/>
    <mergeCell ref="R20:S20"/>
    <mergeCell ref="B19:G19"/>
    <mergeCell ref="H19:I19"/>
    <mergeCell ref="J19:K19"/>
    <mergeCell ref="L19:M19"/>
    <mergeCell ref="N19:O19"/>
    <mergeCell ref="P19:Q19"/>
    <mergeCell ref="B18:G18"/>
  </mergeCells>
  <pageMargins left="0.511811024" right="0.511811024" top="0.78740157500000008" bottom="0.78740157500000008" header="0.31496062000000008" footer="0.31496062000000008"/>
  <pageSetup paperSize="9" scale="65" fitToWidth="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73"/>
  <sheetViews>
    <sheetView topLeftCell="A129" workbookViewId="0">
      <selection activeCell="K162" sqref="A1:XFD1048576"/>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21.7265625" style="35" customWidth="1"/>
    <col min="8" max="8" width="15.81640625" style="35" bestFit="1" customWidth="1"/>
    <col min="9" max="9" width="15.81640625" style="189" customWidth="1"/>
    <col min="10" max="10" width="11.7265625" style="35" customWidth="1"/>
    <col min="11" max="16384" width="11.7265625" style="35"/>
  </cols>
  <sheetData>
    <row r="1" spans="1:9" ht="66.75" customHeight="1">
      <c r="A1" s="385" t="s">
        <v>53</v>
      </c>
      <c r="B1" s="394"/>
      <c r="C1" s="394"/>
      <c r="D1" s="394"/>
      <c r="E1" s="394"/>
      <c r="F1" s="394"/>
      <c r="G1" s="394"/>
      <c r="H1" s="394"/>
      <c r="I1" s="395"/>
    </row>
    <row r="2" spans="1:9" ht="12.75" customHeight="1">
      <c r="A2" s="372" t="s">
        <v>287</v>
      </c>
      <c r="B2" s="388"/>
      <c r="C2" s="391" t="str">
        <f>'DADOS BÁSICOS LICITAÇÃO'!D4</f>
        <v>08385.000738/2021-44</v>
      </c>
      <c r="D2" s="388"/>
      <c r="E2" s="372"/>
      <c r="F2" s="373"/>
      <c r="G2" s="373"/>
      <c r="H2" s="373"/>
      <c r="I2" s="373"/>
    </row>
    <row r="3" spans="1:9" ht="12.75" customHeight="1">
      <c r="A3" s="372" t="s">
        <v>285</v>
      </c>
      <c r="B3" s="388"/>
      <c r="C3" s="372" t="str">
        <f>'DADOS BÁSICOS LICITAÇÃO'!E4</f>
        <v>01/2021</v>
      </c>
      <c r="D3" s="388"/>
      <c r="E3" s="372"/>
      <c r="F3" s="373"/>
      <c r="G3" s="373"/>
      <c r="H3" s="373"/>
      <c r="I3" s="373"/>
    </row>
    <row r="4" spans="1:9" ht="12.75" customHeight="1">
      <c r="A4" s="374" t="s">
        <v>288</v>
      </c>
      <c r="B4" s="389"/>
      <c r="C4" s="392">
        <f>'DADOS BÁSICOS LICITAÇÃO'!B4</f>
        <v>44358</v>
      </c>
      <c r="D4" s="389"/>
      <c r="E4" s="374"/>
      <c r="F4" s="375"/>
      <c r="G4" s="375"/>
      <c r="H4" s="375"/>
      <c r="I4" s="375"/>
    </row>
    <row r="5" spans="1:9" ht="12.75" customHeight="1">
      <c r="A5" s="390" t="s">
        <v>289</v>
      </c>
      <c r="B5" s="390"/>
      <c r="C5" s="393">
        <f>'DADOS BÁSICOS LICITAÇÃO'!C4</f>
        <v>0.39583333333333298</v>
      </c>
      <c r="D5" s="390"/>
      <c r="E5" s="376"/>
      <c r="F5" s="376"/>
      <c r="G5" s="376"/>
      <c r="H5" s="376"/>
      <c r="I5" s="376"/>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LICITAÇÃO'!$A$4</f>
        <v>44344</v>
      </c>
      <c r="I7" s="346"/>
    </row>
    <row r="8" spans="1:9" ht="12.75" customHeight="1">
      <c r="A8" s="36" t="s">
        <v>60</v>
      </c>
      <c r="B8" s="286" t="s">
        <v>61</v>
      </c>
      <c r="C8" s="286"/>
      <c r="D8" s="286"/>
      <c r="E8" s="286"/>
      <c r="F8" s="286"/>
      <c r="G8" s="286"/>
      <c r="H8" s="345" t="str">
        <f>'DADOS BÁSICOS LICITAÇÃO'!A8</f>
        <v>Curitiba/PR</v>
      </c>
      <c r="I8" s="345"/>
    </row>
    <row r="9" spans="1:9" ht="12.75" customHeight="1">
      <c r="A9" s="36" t="s">
        <v>62</v>
      </c>
      <c r="B9" s="286" t="s">
        <v>63</v>
      </c>
      <c r="C9" s="286"/>
      <c r="D9" s="286"/>
      <c r="E9" s="286"/>
      <c r="F9" s="286"/>
      <c r="G9" s="286"/>
      <c r="H9" s="344" t="str">
        <f>'DADOS BÁSICOS LICITAÇÃO'!D8</f>
        <v>PR000326/2021</v>
      </c>
      <c r="I9" s="344"/>
    </row>
    <row r="10" spans="1:9" ht="12.75" customHeight="1">
      <c r="A10" s="36" t="s">
        <v>64</v>
      </c>
      <c r="B10" s="286" t="s">
        <v>65</v>
      </c>
      <c r="C10" s="286"/>
      <c r="D10" s="286"/>
      <c r="E10" s="286"/>
      <c r="F10" s="286"/>
      <c r="G10" s="286"/>
      <c r="H10" s="344">
        <f>'DADOS BÁSICOS LICITAÇÃO'!$E$17</f>
        <v>12</v>
      </c>
      <c r="I10" s="344"/>
    </row>
    <row r="11" spans="1:9" ht="12.75" customHeight="1">
      <c r="A11" s="36" t="s">
        <v>66</v>
      </c>
      <c r="B11" s="286" t="s">
        <v>67</v>
      </c>
      <c r="C11" s="286"/>
      <c r="D11" s="286"/>
      <c r="E11" s="286"/>
      <c r="F11" s="286"/>
      <c r="G11" s="286"/>
      <c r="H11" s="344">
        <f>'DADOS BÁSICOS LICITAÇÃO'!B14</f>
        <v>2</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LICITAÇÃO'!A18</f>
        <v>4222-05</v>
      </c>
      <c r="I14" s="342"/>
    </row>
    <row r="15" spans="1:9" ht="12.75" customHeight="1">
      <c r="A15" s="36">
        <v>4</v>
      </c>
      <c r="B15" s="286" t="s">
        <v>73</v>
      </c>
      <c r="C15" s="286"/>
      <c r="D15" s="286"/>
      <c r="E15" s="286"/>
      <c r="F15" s="286"/>
      <c r="G15" s="286"/>
      <c r="H15" s="342" t="str">
        <f>'DADOS BÁSICOS LICITAÇÃO'!B18</f>
        <v>Telefonista</v>
      </c>
      <c r="I15" s="342"/>
    </row>
    <row r="16" spans="1:9" ht="15" customHeight="1">
      <c r="A16" s="41">
        <v>5</v>
      </c>
      <c r="B16" s="286" t="s">
        <v>74</v>
      </c>
      <c r="C16" s="286"/>
      <c r="D16" s="286"/>
      <c r="E16" s="286"/>
      <c r="F16" s="286"/>
      <c r="G16" s="286"/>
      <c r="H16" s="384">
        <f>'DADOS BÁSICOS LICITAÇÃO'!E8</f>
        <v>44228</v>
      </c>
      <c r="I16" s="384"/>
    </row>
    <row r="17" spans="1:9" ht="12.75" customHeight="1">
      <c r="A17" s="36">
        <v>3</v>
      </c>
      <c r="B17" s="286" t="s">
        <v>72</v>
      </c>
      <c r="C17" s="286"/>
      <c r="D17" s="286"/>
      <c r="E17" s="286"/>
      <c r="F17" s="286"/>
      <c r="G17" s="286"/>
      <c r="H17" s="383">
        <f>'DADOS BÁSICOS LICITAÇÃO'!H14</f>
        <v>1415.56</v>
      </c>
      <c r="I17" s="383"/>
    </row>
    <row r="18" spans="1:9" ht="12.75" customHeight="1">
      <c r="A18" s="43">
        <v>6</v>
      </c>
      <c r="B18" s="284" t="s">
        <v>233</v>
      </c>
      <c r="C18" s="284"/>
      <c r="D18" s="284"/>
      <c r="E18" s="284"/>
      <c r="F18" s="284"/>
      <c r="G18" s="284"/>
      <c r="H18" s="382">
        <f>'DADOS BÁSICOS LICITAÇÃO'!G14</f>
        <v>180</v>
      </c>
      <c r="I18" s="382"/>
    </row>
    <row r="19" spans="1:9" ht="12.75" customHeight="1">
      <c r="A19" s="43">
        <v>6</v>
      </c>
      <c r="B19" s="303" t="s">
        <v>234</v>
      </c>
      <c r="C19" s="303"/>
      <c r="D19" s="303"/>
      <c r="E19" s="303"/>
      <c r="F19" s="303"/>
      <c r="G19" s="284"/>
      <c r="H19" s="336">
        <f>'DADOS BÁSICOS LICITAÇÃO'!C18</f>
        <v>150</v>
      </c>
      <c r="I19" s="337"/>
    </row>
    <row r="20" spans="1:9" ht="12.75" customHeight="1">
      <c r="A20" s="43">
        <v>7</v>
      </c>
      <c r="B20" s="284" t="s">
        <v>75</v>
      </c>
      <c r="C20" s="284"/>
      <c r="D20" s="284"/>
      <c r="E20" s="284"/>
      <c r="F20" s="284"/>
      <c r="G20" s="284"/>
      <c r="H20" s="336">
        <f>'DADOS BÁSICOS LICITAÇÃO'!$F$17</f>
        <v>22</v>
      </c>
      <c r="I20" s="337"/>
    </row>
    <row r="21" spans="1:9">
      <c r="A21" s="44" t="s">
        <v>76</v>
      </c>
      <c r="B21" s="38"/>
      <c r="C21" s="38"/>
      <c r="D21" s="38"/>
      <c r="E21" s="38"/>
      <c r="F21" s="38"/>
      <c r="G21" s="38"/>
      <c r="H21" s="39"/>
      <c r="I21" s="40"/>
    </row>
    <row r="22" spans="1:9" ht="12.75" customHeight="1">
      <c r="A22" s="45">
        <v>1</v>
      </c>
      <c r="B22" s="288" t="s">
        <v>77</v>
      </c>
      <c r="C22" s="288"/>
      <c r="D22" s="288"/>
      <c r="E22" s="288"/>
      <c r="F22" s="288"/>
      <c r="G22" s="288"/>
      <c r="H22" s="46" t="s">
        <v>78</v>
      </c>
      <c r="I22" s="47" t="s">
        <v>79</v>
      </c>
    </row>
    <row r="23" spans="1:9" ht="12.75" customHeight="1">
      <c r="A23" s="36" t="s">
        <v>58</v>
      </c>
      <c r="B23" s="286" t="s">
        <v>235</v>
      </c>
      <c r="C23" s="286"/>
      <c r="D23" s="286"/>
      <c r="E23" s="286"/>
      <c r="F23" s="286"/>
      <c r="G23" s="286"/>
      <c r="H23" s="48"/>
      <c r="I23" s="57">
        <f>(H17/'DADOS BÁSICOS LICITAÇÃO'!G14)*'DADOS BÁSICOS LICITAÇÃO'!C18</f>
        <v>1179.6300000000001</v>
      </c>
    </row>
    <row r="24" spans="1:9" ht="12.75" customHeight="1">
      <c r="A24" s="36" t="s">
        <v>60</v>
      </c>
      <c r="B24" s="335" t="s">
        <v>80</v>
      </c>
      <c r="C24" s="335"/>
      <c r="D24" s="335"/>
      <c r="E24" s="335"/>
      <c r="F24" s="335"/>
      <c r="G24" s="335"/>
      <c r="H24" s="50">
        <v>0.3</v>
      </c>
      <c r="I24" s="71">
        <f>I23*H24</f>
        <v>353.89</v>
      </c>
    </row>
    <row r="25" spans="1:9" s="55" customFormat="1" ht="12.75" customHeight="1">
      <c r="A25" s="52" t="s">
        <v>62</v>
      </c>
      <c r="B25" s="335" t="s">
        <v>81</v>
      </c>
      <c r="C25" s="335"/>
      <c r="D25" s="335"/>
      <c r="E25" s="335"/>
      <c r="F25" s="335"/>
      <c r="G25" s="335"/>
      <c r="H25" s="53"/>
      <c r="I25" s="54"/>
    </row>
    <row r="26" spans="1:9" s="55" customFormat="1" ht="12.75" customHeight="1">
      <c r="A26" s="52" t="s">
        <v>64</v>
      </c>
      <c r="B26" s="286" t="s">
        <v>82</v>
      </c>
      <c r="C26" s="286"/>
      <c r="D26" s="286"/>
      <c r="E26" s="286"/>
      <c r="F26" s="286"/>
      <c r="G26" s="286"/>
      <c r="H26" s="56"/>
      <c r="I26" s="57"/>
    </row>
    <row r="27" spans="1:9" s="55" customFormat="1" ht="12.75" customHeight="1">
      <c r="A27" s="52" t="s">
        <v>66</v>
      </c>
      <c r="B27" s="286" t="s">
        <v>83</v>
      </c>
      <c r="C27" s="286"/>
      <c r="D27" s="286"/>
      <c r="E27" s="326"/>
      <c r="F27" s="326"/>
      <c r="G27" s="326"/>
      <c r="H27" s="58"/>
      <c r="I27" s="57"/>
    </row>
    <row r="28" spans="1:9" s="55" customFormat="1" ht="12.75" customHeight="1">
      <c r="A28" s="59" t="s">
        <v>84</v>
      </c>
      <c r="B28" s="327"/>
      <c r="C28" s="328"/>
      <c r="D28" s="328"/>
      <c r="E28" s="329"/>
      <c r="F28" s="330"/>
      <c r="G28" s="331"/>
      <c r="H28" s="60"/>
      <c r="I28" s="57"/>
    </row>
    <row r="29" spans="1:9" s="55" customFormat="1" ht="12.75" customHeight="1">
      <c r="A29" s="332" t="s">
        <v>85</v>
      </c>
      <c r="B29" s="332"/>
      <c r="C29" s="332"/>
      <c r="D29" s="332"/>
      <c r="E29" s="332"/>
      <c r="F29" s="332"/>
      <c r="G29" s="332"/>
      <c r="H29" s="61"/>
      <c r="I29" s="62">
        <f>SUM(I23:I28)</f>
        <v>1533.52</v>
      </c>
    </row>
    <row r="30" spans="1:9">
      <c r="A30" s="37" t="s">
        <v>86</v>
      </c>
      <c r="B30" s="63"/>
      <c r="C30" s="63"/>
      <c r="D30" s="63"/>
      <c r="E30" s="63"/>
      <c r="F30" s="63"/>
      <c r="G30" s="63"/>
      <c r="H30" s="64"/>
      <c r="I30" s="65"/>
    </row>
    <row r="31" spans="1:9" ht="18" customHeight="1">
      <c r="A31" s="66" t="s">
        <v>87</v>
      </c>
      <c r="B31" s="334" t="s">
        <v>88</v>
      </c>
      <c r="C31" s="334"/>
      <c r="D31" s="334"/>
      <c r="E31" s="334"/>
      <c r="F31" s="334"/>
      <c r="G31" s="334"/>
      <c r="H31" s="67" t="s">
        <v>89</v>
      </c>
      <c r="I31" s="68" t="s">
        <v>79</v>
      </c>
    </row>
    <row r="32" spans="1:9" ht="16.5" customHeight="1">
      <c r="A32" s="69" t="s">
        <v>58</v>
      </c>
      <c r="B32" s="286" t="s">
        <v>90</v>
      </c>
      <c r="C32" s="286"/>
      <c r="D32" s="286"/>
      <c r="E32" s="286"/>
      <c r="F32" s="286"/>
      <c r="G32" s="286"/>
      <c r="H32" s="70">
        <f>1/12</f>
        <v>8.3299999999999999E-2</v>
      </c>
      <c r="I32" s="71">
        <f>I$29*H$32</f>
        <v>127.74</v>
      </c>
    </row>
    <row r="33" spans="1:9" ht="16.5" customHeight="1">
      <c r="A33" s="69" t="s">
        <v>60</v>
      </c>
      <c r="B33" s="286" t="s">
        <v>91</v>
      </c>
      <c r="C33" s="286"/>
      <c r="D33" s="286"/>
      <c r="E33" s="286"/>
      <c r="F33" s="286"/>
      <c r="G33" s="286"/>
      <c r="H33" s="70">
        <f>SUM(H34:H39)</f>
        <v>0.1111</v>
      </c>
      <c r="I33" s="71">
        <f>SUM(I34:I39)</f>
        <v>170.37</v>
      </c>
    </row>
    <row r="34" spans="1:9" ht="16.5" customHeight="1">
      <c r="A34" s="69"/>
      <c r="B34" s="69" t="s">
        <v>183</v>
      </c>
      <c r="C34" s="302" t="s">
        <v>188</v>
      </c>
      <c r="D34" s="303"/>
      <c r="E34" s="303"/>
      <c r="F34" s="303"/>
      <c r="G34" s="284"/>
      <c r="H34" s="70">
        <f>(1/3)/12</f>
        <v>2.7799999999999998E-2</v>
      </c>
      <c r="I34" s="71">
        <f t="shared" ref="I34:I39" si="0">I$29*H34</f>
        <v>42.63</v>
      </c>
    </row>
    <row r="35" spans="1:9" ht="16.5" customHeight="1">
      <c r="A35" s="72"/>
      <c r="B35" s="72" t="s">
        <v>184</v>
      </c>
      <c r="C35" s="320" t="s">
        <v>205</v>
      </c>
      <c r="D35" s="321"/>
      <c r="E35" s="321"/>
      <c r="F35" s="321"/>
      <c r="G35" s="322"/>
      <c r="H35" s="73">
        <f>1/12</f>
        <v>8.3299999999999999E-2</v>
      </c>
      <c r="I35" s="74">
        <f t="shared" si="0"/>
        <v>127.74</v>
      </c>
    </row>
    <row r="36" spans="1:9" ht="16.5" customHeight="1">
      <c r="A36" s="72"/>
      <c r="B36" s="72" t="s">
        <v>266</v>
      </c>
      <c r="C36" s="320" t="s">
        <v>267</v>
      </c>
      <c r="D36" s="321"/>
      <c r="E36" s="321"/>
      <c r="F36" s="321"/>
      <c r="G36" s="322"/>
      <c r="H36" s="73">
        <v>0</v>
      </c>
      <c r="I36" s="74">
        <f t="shared" si="0"/>
        <v>0</v>
      </c>
    </row>
    <row r="37" spans="1:9" ht="16.5" customHeight="1">
      <c r="A37" s="76"/>
      <c r="B37" s="76" t="s">
        <v>185</v>
      </c>
      <c r="C37" s="323" t="s">
        <v>206</v>
      </c>
      <c r="D37" s="324"/>
      <c r="E37" s="324"/>
      <c r="F37" s="324"/>
      <c r="G37" s="325"/>
      <c r="H37" s="77">
        <v>0</v>
      </c>
      <c r="I37" s="78">
        <f t="shared" si="0"/>
        <v>0</v>
      </c>
    </row>
    <row r="38" spans="1:9" ht="16.5" customHeight="1">
      <c r="A38" s="76"/>
      <c r="B38" s="76" t="s">
        <v>186</v>
      </c>
      <c r="C38" s="323" t="s">
        <v>207</v>
      </c>
      <c r="D38" s="324"/>
      <c r="E38" s="324"/>
      <c r="F38" s="324"/>
      <c r="G38" s="325"/>
      <c r="H38" s="77">
        <v>0</v>
      </c>
      <c r="I38" s="78">
        <f t="shared" si="0"/>
        <v>0</v>
      </c>
    </row>
    <row r="39" spans="1:9" ht="16.5" customHeight="1">
      <c r="A39" s="76"/>
      <c r="B39" s="76" t="s">
        <v>187</v>
      </c>
      <c r="C39" s="323" t="s">
        <v>208</v>
      </c>
      <c r="D39" s="324"/>
      <c r="E39" s="324"/>
      <c r="F39" s="324"/>
      <c r="G39" s="325"/>
      <c r="H39" s="77">
        <v>0</v>
      </c>
      <c r="I39" s="78">
        <f t="shared" si="0"/>
        <v>0</v>
      </c>
    </row>
    <row r="40" spans="1:9">
      <c r="A40" s="287" t="s">
        <v>85</v>
      </c>
      <c r="B40" s="287"/>
      <c r="C40" s="287"/>
      <c r="D40" s="287"/>
      <c r="E40" s="287"/>
      <c r="F40" s="287"/>
      <c r="G40" s="287"/>
      <c r="H40" s="79">
        <f>SUM(H32:H33)</f>
        <v>0.19439999999999999</v>
      </c>
      <c r="I40" s="80">
        <f>SUM(I32:I33)</f>
        <v>298.11</v>
      </c>
    </row>
    <row r="41" spans="1:9">
      <c r="A41" s="304" t="s">
        <v>92</v>
      </c>
      <c r="B41" s="304"/>
      <c r="C41" s="304"/>
      <c r="D41" s="304"/>
      <c r="E41" s="304"/>
      <c r="F41" s="304"/>
      <c r="G41" s="304"/>
      <c r="H41" s="81" t="s">
        <v>93</v>
      </c>
      <c r="I41" s="82">
        <f>I29</f>
        <v>1533.52</v>
      </c>
    </row>
    <row r="42" spans="1:9">
      <c r="A42" s="304"/>
      <c r="B42" s="304"/>
      <c r="C42" s="304"/>
      <c r="D42" s="304"/>
      <c r="E42" s="304"/>
      <c r="F42" s="304"/>
      <c r="G42" s="304"/>
      <c r="H42" s="81" t="s">
        <v>99</v>
      </c>
      <c r="I42" s="82">
        <f>I40</f>
        <v>298.11</v>
      </c>
    </row>
    <row r="43" spans="1:9">
      <c r="A43" s="304"/>
      <c r="B43" s="304"/>
      <c r="C43" s="304"/>
      <c r="D43" s="304"/>
      <c r="E43" s="304"/>
      <c r="F43" s="304"/>
      <c r="G43" s="304"/>
      <c r="H43" s="81" t="s">
        <v>85</v>
      </c>
      <c r="I43" s="82">
        <f>SUM(I41:I42)</f>
        <v>1831.63</v>
      </c>
    </row>
    <row r="44" spans="1:9" ht="33" customHeight="1">
      <c r="A44" s="37" t="s">
        <v>105</v>
      </c>
      <c r="B44" s="63"/>
      <c r="C44" s="63"/>
      <c r="D44" s="63"/>
      <c r="E44" s="63"/>
      <c r="F44" s="63"/>
      <c r="G44" s="63"/>
      <c r="H44" s="64"/>
      <c r="I44" s="65"/>
    </row>
    <row r="45" spans="1:9" ht="19.5" customHeight="1">
      <c r="A45" s="83" t="s">
        <v>106</v>
      </c>
      <c r="B45" s="288" t="s">
        <v>107</v>
      </c>
      <c r="C45" s="288"/>
      <c r="D45" s="288"/>
      <c r="E45" s="288"/>
      <c r="F45" s="288"/>
      <c r="G45" s="288"/>
      <c r="H45" s="67" t="s">
        <v>89</v>
      </c>
      <c r="I45" s="84" t="s">
        <v>79</v>
      </c>
    </row>
    <row r="46" spans="1:9" ht="12.75" customHeight="1">
      <c r="A46" s="85" t="s">
        <v>58</v>
      </c>
      <c r="B46" s="286" t="s">
        <v>32</v>
      </c>
      <c r="C46" s="286"/>
      <c r="D46" s="286"/>
      <c r="E46" s="286"/>
      <c r="F46" s="286"/>
      <c r="G46" s="286"/>
      <c r="H46" s="50">
        <f>IF('DADOS BÁSICOS LICITAÇÃO'!$B$25="LUCRO PRESUMIDO",'DADOS BÁSICOS LICITAÇÃO'!$B$29,'DADOS BÁSICOS LICITAÇÃO'!$C$29)</f>
        <v>0.2</v>
      </c>
      <c r="I46" s="71">
        <f>I43*H46</f>
        <v>366.33</v>
      </c>
    </row>
    <row r="47" spans="1:9" ht="12.75" customHeight="1">
      <c r="A47" s="85" t="s">
        <v>60</v>
      </c>
      <c r="B47" s="286" t="s">
        <v>108</v>
      </c>
      <c r="C47" s="286"/>
      <c r="D47" s="286"/>
      <c r="E47" s="286"/>
      <c r="F47" s="286"/>
      <c r="G47" s="286"/>
      <c r="H47" s="50">
        <f>IF('DADOS BÁSICOS LICITAÇÃO'!$B$25="LUCRO PRESUMIDO",'DADOS BÁSICOS LICITAÇÃO'!$B$30,'DADOS BÁSICOS LICITAÇÃO'!$C$30)</f>
        <v>2.5000000000000001E-2</v>
      </c>
      <c r="I47" s="71">
        <f>I43*H47</f>
        <v>45.79</v>
      </c>
    </row>
    <row r="48" spans="1:9" ht="17.25" customHeight="1">
      <c r="A48" s="85" t="s">
        <v>62</v>
      </c>
      <c r="B48" s="286" t="s">
        <v>109</v>
      </c>
      <c r="C48" s="286"/>
      <c r="D48" s="286"/>
      <c r="E48" s="286"/>
      <c r="F48" s="286"/>
      <c r="G48" s="286"/>
      <c r="H48" s="50">
        <f>IF('DADOS BÁSICOS LICITAÇÃO'!$B$25="LUCRO PRESUMIDO",'DADOS BÁSICOS LICITAÇÃO'!$B$31,'DADOS BÁSICOS LICITAÇÃO'!$C$31)</f>
        <v>0.03</v>
      </c>
      <c r="I48" s="71">
        <f>I43*H48</f>
        <v>54.95</v>
      </c>
    </row>
    <row r="49" spans="1:10" ht="12.75" customHeight="1">
      <c r="A49" s="85" t="s">
        <v>64</v>
      </c>
      <c r="B49" s="286" t="s">
        <v>35</v>
      </c>
      <c r="C49" s="286"/>
      <c r="D49" s="286"/>
      <c r="E49" s="286"/>
      <c r="F49" s="286"/>
      <c r="G49" s="286"/>
      <c r="H49" s="50">
        <f>IF('DADOS BÁSICOS LICITAÇÃO'!$B$25="LUCRO PRESUMIDO",'DADOS BÁSICOS LICITAÇÃO'!$B$32,'DADOS BÁSICOS LICITAÇÃO'!$C$32)</f>
        <v>1.4999999999999999E-2</v>
      </c>
      <c r="I49" s="71">
        <f>I43*H49</f>
        <v>27.47</v>
      </c>
    </row>
    <row r="50" spans="1:10" ht="12.75" customHeight="1">
      <c r="A50" s="85" t="s">
        <v>66</v>
      </c>
      <c r="B50" s="286" t="s">
        <v>36</v>
      </c>
      <c r="C50" s="286"/>
      <c r="D50" s="286"/>
      <c r="E50" s="286"/>
      <c r="F50" s="286"/>
      <c r="G50" s="286"/>
      <c r="H50" s="50">
        <f>IF('DADOS BÁSICOS LICITAÇÃO'!$B$25="LUCRO PRESUMIDO",'DADOS BÁSICOS LICITAÇÃO'!$B$33,'DADOS BÁSICOS LICITAÇÃO'!$C$33)</f>
        <v>0.01</v>
      </c>
      <c r="I50" s="71">
        <f>I43*H50</f>
        <v>18.32</v>
      </c>
    </row>
    <row r="51" spans="1:10" ht="12.75" customHeight="1">
      <c r="A51" s="85" t="s">
        <v>84</v>
      </c>
      <c r="B51" s="286" t="s">
        <v>37</v>
      </c>
      <c r="C51" s="286"/>
      <c r="D51" s="286"/>
      <c r="E51" s="286"/>
      <c r="F51" s="286"/>
      <c r="G51" s="286"/>
      <c r="H51" s="50">
        <f>IF('DADOS BÁSICOS LICITAÇÃO'!$B$25="LUCRO PRESUMIDO",'DADOS BÁSICOS LICITAÇÃO'!$B$34,'DADOS BÁSICOS LICITAÇÃO'!$C$34)</f>
        <v>6.0000000000000001E-3</v>
      </c>
      <c r="I51" s="71">
        <f>I43*H51</f>
        <v>10.99</v>
      </c>
    </row>
    <row r="52" spans="1:10" ht="12.75" customHeight="1">
      <c r="A52" s="85" t="s">
        <v>110</v>
      </c>
      <c r="B52" s="286" t="s">
        <v>38</v>
      </c>
      <c r="C52" s="286"/>
      <c r="D52" s="286"/>
      <c r="E52" s="286"/>
      <c r="F52" s="286"/>
      <c r="G52" s="286"/>
      <c r="H52" s="50">
        <f>IF('DADOS BÁSICOS LICITAÇÃO'!$B$25="LUCRO PRESUMIDO",'DADOS BÁSICOS LICITAÇÃO'!$B$35,'DADOS BÁSICOS LICITAÇÃO'!$C$35)</f>
        <v>2E-3</v>
      </c>
      <c r="I52" s="71">
        <f>I43*H52</f>
        <v>3.66</v>
      </c>
    </row>
    <row r="53" spans="1:10" ht="12.75" customHeight="1">
      <c r="A53" s="86" t="s">
        <v>111</v>
      </c>
      <c r="B53" s="286" t="s">
        <v>39</v>
      </c>
      <c r="C53" s="286"/>
      <c r="D53" s="286"/>
      <c r="E53" s="286"/>
      <c r="F53" s="286"/>
      <c r="G53" s="286"/>
      <c r="H53" s="50">
        <f>IF('DADOS BÁSICOS LICITAÇÃO'!$B$25="LUCRO PRESUMIDO",'DADOS BÁSICOS LICITAÇÃO'!$B$36,'DADOS BÁSICOS LICITAÇÃO'!$C$36)</f>
        <v>0.08</v>
      </c>
      <c r="I53" s="71">
        <f>I43*H53</f>
        <v>146.53</v>
      </c>
    </row>
    <row r="54" spans="1:10" ht="18.75" customHeight="1">
      <c r="A54" s="287" t="s">
        <v>85</v>
      </c>
      <c r="B54" s="287"/>
      <c r="C54" s="287"/>
      <c r="D54" s="287"/>
      <c r="E54" s="287"/>
      <c r="F54" s="287"/>
      <c r="G54" s="287"/>
      <c r="H54" s="87">
        <f>SUM(H46:H53)</f>
        <v>0.36799999999999999</v>
      </c>
      <c r="I54" s="80">
        <f t="shared" ref="I54" si="1">SUM(I46:I53)</f>
        <v>674.04</v>
      </c>
    </row>
    <row r="55" spans="1:10" ht="33" customHeight="1">
      <c r="A55" s="88" t="s">
        <v>112</v>
      </c>
      <c r="B55" s="88"/>
      <c r="C55" s="88"/>
      <c r="D55" s="88"/>
      <c r="E55" s="88"/>
      <c r="F55" s="88"/>
      <c r="G55" s="88"/>
      <c r="H55" s="89"/>
      <c r="I55" s="90"/>
    </row>
    <row r="56" spans="1:10" ht="17.25" customHeight="1">
      <c r="A56" s="83" t="s">
        <v>113</v>
      </c>
      <c r="B56" s="316" t="s">
        <v>114</v>
      </c>
      <c r="C56" s="316"/>
      <c r="D56" s="316"/>
      <c r="E56" s="316"/>
      <c r="F56" s="316"/>
      <c r="G56" s="316"/>
      <c r="H56" s="39"/>
      <c r="I56" s="91" t="s">
        <v>79</v>
      </c>
    </row>
    <row r="57" spans="1:10">
      <c r="A57" s="69" t="s">
        <v>58</v>
      </c>
      <c r="B57" s="294" t="s">
        <v>115</v>
      </c>
      <c r="C57" s="294"/>
      <c r="D57" s="294"/>
      <c r="E57" s="294"/>
      <c r="F57" s="294"/>
      <c r="G57" s="294"/>
      <c r="H57" s="92"/>
      <c r="I57" s="317">
        <f>IF((H58*H59)-(I23*H60)&gt;0,((H58*H59)-(I23*H60)),0)</f>
        <v>127.22</v>
      </c>
    </row>
    <row r="58" spans="1:10" ht="24.75" customHeight="1">
      <c r="A58" s="69"/>
      <c r="B58" s="286" t="s">
        <v>116</v>
      </c>
      <c r="C58" s="286"/>
      <c r="D58" s="286"/>
      <c r="E58" s="286"/>
      <c r="F58" s="286"/>
      <c r="G58" s="286"/>
      <c r="H58" s="93">
        <f>'DADOS BÁSICOS LICITAÇÃO'!P8</f>
        <v>4.5</v>
      </c>
      <c r="I58" s="318"/>
    </row>
    <row r="59" spans="1:10" ht="12.75" customHeight="1">
      <c r="A59" s="94"/>
      <c r="B59" s="286" t="s">
        <v>117</v>
      </c>
      <c r="C59" s="286"/>
      <c r="D59" s="286"/>
      <c r="E59" s="286"/>
      <c r="F59" s="286"/>
      <c r="G59" s="286"/>
      <c r="H59" s="95">
        <f>'DADOS BÁSICOS LICITAÇÃO'!$O8</f>
        <v>44</v>
      </c>
      <c r="I59" s="318"/>
    </row>
    <row r="60" spans="1:10" ht="12.75" customHeight="1">
      <c r="A60" s="69"/>
      <c r="B60" s="286" t="s">
        <v>118</v>
      </c>
      <c r="C60" s="286"/>
      <c r="D60" s="286"/>
      <c r="E60" s="286"/>
      <c r="F60" s="286"/>
      <c r="G60" s="286"/>
      <c r="H60" s="96">
        <v>0.06</v>
      </c>
      <c r="I60" s="319"/>
    </row>
    <row r="61" spans="1:10" ht="15" customHeight="1">
      <c r="A61" s="69" t="s">
        <v>60</v>
      </c>
      <c r="B61" s="286" t="s">
        <v>119</v>
      </c>
      <c r="C61" s="286"/>
      <c r="D61" s="286"/>
      <c r="E61" s="286"/>
      <c r="F61" s="286"/>
      <c r="G61" s="286"/>
      <c r="H61" s="97"/>
      <c r="I61" s="313">
        <f>H62-(H62*H64)</f>
        <v>360</v>
      </c>
    </row>
    <row r="62" spans="1:10" ht="15" customHeight="1">
      <c r="A62" s="69"/>
      <c r="B62" s="286" t="s">
        <v>256</v>
      </c>
      <c r="C62" s="286"/>
      <c r="D62" s="286"/>
      <c r="E62" s="286"/>
      <c r="F62" s="286"/>
      <c r="G62" s="286"/>
      <c r="H62" s="98">
        <f>'DADOS BÁSICOS LICITAÇÃO'!I8</f>
        <v>450</v>
      </c>
      <c r="I62" s="314"/>
      <c r="J62" s="99"/>
    </row>
    <row r="63" spans="1:10" ht="15" customHeight="1">
      <c r="A63" s="69"/>
      <c r="B63" s="286" t="s">
        <v>258</v>
      </c>
      <c r="C63" s="286"/>
      <c r="D63" s="286"/>
      <c r="E63" s="286"/>
      <c r="F63" s="286"/>
      <c r="G63" s="286"/>
      <c r="H63" s="100"/>
      <c r="I63" s="314"/>
      <c r="J63" s="99"/>
    </row>
    <row r="64" spans="1:10" ht="15" customHeight="1">
      <c r="A64" s="69"/>
      <c r="B64" s="286" t="s">
        <v>257</v>
      </c>
      <c r="C64" s="286"/>
      <c r="D64" s="286"/>
      <c r="E64" s="286"/>
      <c r="F64" s="286"/>
      <c r="G64" s="286"/>
      <c r="H64" s="101">
        <f>'DADOS BÁSICOS LICITAÇÃO'!$N8</f>
        <v>0.2</v>
      </c>
      <c r="I64" s="315"/>
    </row>
    <row r="65" spans="1:9" ht="17.25" customHeight="1">
      <c r="A65" s="69" t="s">
        <v>62</v>
      </c>
      <c r="B65" s="286" t="str">
        <f>'DADOS BÁSICOS LICITAÇÃO'!$J$7</f>
        <v>Auxílio Saúde</v>
      </c>
      <c r="C65" s="286"/>
      <c r="D65" s="286"/>
      <c r="E65" s="286"/>
      <c r="F65" s="286"/>
      <c r="G65" s="286"/>
      <c r="H65" s="102"/>
      <c r="I65" s="57">
        <f>'DADOS BÁSICOS LICITAÇÃO'!$J$8</f>
        <v>64</v>
      </c>
    </row>
    <row r="66" spans="1:9" ht="16" customHeight="1">
      <c r="A66" s="69" t="s">
        <v>64</v>
      </c>
      <c r="B66" s="286" t="str">
        <f>'DADOS BÁSICOS LICITAÇÃO'!$K$7</f>
        <v>Benefício Familiar</v>
      </c>
      <c r="C66" s="286"/>
      <c r="D66" s="286"/>
      <c r="E66" s="286"/>
      <c r="F66" s="286"/>
      <c r="G66" s="286"/>
      <c r="H66" s="103"/>
      <c r="I66" s="104">
        <f>'DADOS BÁSICOS LICITAÇÃO'!$K$8</f>
        <v>21</v>
      </c>
    </row>
    <row r="67" spans="1:9" ht="15" customHeight="1">
      <c r="A67" s="69" t="s">
        <v>66</v>
      </c>
      <c r="B67" s="286" t="str">
        <f>'DADOS BÁSICOS LICITAÇÃO'!$L$7</f>
        <v>Fundo de Fomação Profissional</v>
      </c>
      <c r="C67" s="286"/>
      <c r="D67" s="286"/>
      <c r="E67" s="286"/>
      <c r="F67" s="286"/>
      <c r="G67" s="286"/>
      <c r="H67" s="102"/>
      <c r="I67" s="104">
        <f>'DADOS BÁSICOS LICITAÇÃO'!$L$8</f>
        <v>21</v>
      </c>
    </row>
    <row r="68" spans="1:9" ht="18" customHeight="1">
      <c r="A68" s="72" t="s">
        <v>84</v>
      </c>
      <c r="B68" s="312" t="s">
        <v>200</v>
      </c>
      <c r="C68" s="312"/>
      <c r="D68" s="312"/>
      <c r="E68" s="312"/>
      <c r="F68" s="312"/>
      <c r="G68" s="312"/>
      <c r="H68" s="105">
        <f>1/12</f>
        <v>8.3299999999999999E-2</v>
      </c>
      <c r="I68" s="106">
        <f>I61*H68</f>
        <v>29.99</v>
      </c>
    </row>
    <row r="69" spans="1:9" ht="18" customHeight="1">
      <c r="A69" s="72" t="s">
        <v>268</v>
      </c>
      <c r="B69" s="312" t="s">
        <v>269</v>
      </c>
      <c r="C69" s="312"/>
      <c r="D69" s="312"/>
      <c r="E69" s="312"/>
      <c r="F69" s="312"/>
      <c r="G69" s="312"/>
      <c r="H69" s="105">
        <v>0</v>
      </c>
      <c r="I69" s="107">
        <f>I61*H69</f>
        <v>0</v>
      </c>
    </row>
    <row r="70" spans="1:9" ht="18" customHeight="1">
      <c r="A70" s="108" t="s">
        <v>110</v>
      </c>
      <c r="B70" s="297" t="s">
        <v>201</v>
      </c>
      <c r="C70" s="297"/>
      <c r="D70" s="297"/>
      <c r="E70" s="297"/>
      <c r="F70" s="297"/>
      <c r="G70" s="297"/>
      <c r="H70" s="109">
        <v>0</v>
      </c>
      <c r="I70" s="225">
        <f>I61*H70</f>
        <v>0</v>
      </c>
    </row>
    <row r="71" spans="1:9" ht="18" customHeight="1">
      <c r="A71" s="76" t="s">
        <v>111</v>
      </c>
      <c r="B71" s="310" t="s">
        <v>202</v>
      </c>
      <c r="C71" s="310"/>
      <c r="D71" s="310"/>
      <c r="E71" s="310"/>
      <c r="F71" s="310"/>
      <c r="G71" s="310"/>
      <c r="H71" s="111">
        <v>0</v>
      </c>
      <c r="I71" s="226">
        <f>I65*H71</f>
        <v>0</v>
      </c>
    </row>
    <row r="72" spans="1:9" ht="18" customHeight="1">
      <c r="A72" s="76" t="s">
        <v>198</v>
      </c>
      <c r="B72" s="310" t="s">
        <v>203</v>
      </c>
      <c r="C72" s="310"/>
      <c r="D72" s="310"/>
      <c r="E72" s="310"/>
      <c r="F72" s="310"/>
      <c r="G72" s="310"/>
      <c r="H72" s="111">
        <v>0</v>
      </c>
      <c r="I72" s="227">
        <f>I66*H72</f>
        <v>0</v>
      </c>
    </row>
    <row r="73" spans="1:9" ht="18" customHeight="1">
      <c r="A73" s="76" t="s">
        <v>199</v>
      </c>
      <c r="B73" s="310" t="s">
        <v>204</v>
      </c>
      <c r="C73" s="310"/>
      <c r="D73" s="310"/>
      <c r="E73" s="310"/>
      <c r="F73" s="310"/>
      <c r="G73" s="310"/>
      <c r="H73" s="111">
        <v>0</v>
      </c>
      <c r="I73" s="227">
        <f>I67*H73</f>
        <v>0</v>
      </c>
    </row>
    <row r="74" spans="1:9" ht="19.5" customHeight="1">
      <c r="A74" s="287" t="s">
        <v>85</v>
      </c>
      <c r="B74" s="287"/>
      <c r="C74" s="287"/>
      <c r="D74" s="287"/>
      <c r="E74" s="287"/>
      <c r="F74" s="287"/>
      <c r="G74" s="287"/>
      <c r="H74" s="113"/>
      <c r="I74" s="80">
        <f>SUM(I57:I73)</f>
        <v>623.21</v>
      </c>
    </row>
    <row r="75" spans="1:9" ht="30.75" customHeight="1">
      <c r="A75" s="37" t="s">
        <v>120</v>
      </c>
      <c r="B75" s="63"/>
      <c r="C75" s="63"/>
      <c r="D75" s="63"/>
      <c r="E75" s="63"/>
      <c r="F75" s="63"/>
      <c r="G75" s="63"/>
      <c r="H75" s="64"/>
      <c r="I75" s="65"/>
    </row>
    <row r="76" spans="1:9" ht="20.25" customHeight="1">
      <c r="A76" s="114">
        <v>2</v>
      </c>
      <c r="B76" s="311" t="s">
        <v>121</v>
      </c>
      <c r="C76" s="311"/>
      <c r="D76" s="311"/>
      <c r="E76" s="311"/>
      <c r="F76" s="311"/>
      <c r="G76" s="311"/>
      <c r="H76" s="115"/>
      <c r="I76" s="116" t="s">
        <v>79</v>
      </c>
    </row>
    <row r="77" spans="1:9" ht="12.75" customHeight="1">
      <c r="A77" s="69" t="s">
        <v>87</v>
      </c>
      <c r="B77" s="286" t="s">
        <v>88</v>
      </c>
      <c r="C77" s="286"/>
      <c r="D77" s="286"/>
      <c r="E77" s="286"/>
      <c r="F77" s="286"/>
      <c r="G77" s="286"/>
      <c r="H77" s="48"/>
      <c r="I77" s="71">
        <f>I40</f>
        <v>298.11</v>
      </c>
    </row>
    <row r="78" spans="1:9" ht="12.75" customHeight="1">
      <c r="A78" s="69" t="s">
        <v>106</v>
      </c>
      <c r="B78" s="286" t="s">
        <v>107</v>
      </c>
      <c r="C78" s="286"/>
      <c r="D78" s="286"/>
      <c r="E78" s="286"/>
      <c r="F78" s="286"/>
      <c r="G78" s="286"/>
      <c r="H78" s="48"/>
      <c r="I78" s="71">
        <f>I54</f>
        <v>674.04</v>
      </c>
    </row>
    <row r="79" spans="1:9" ht="12.75" customHeight="1">
      <c r="A79" s="69" t="s">
        <v>113</v>
      </c>
      <c r="B79" s="286" t="s">
        <v>114</v>
      </c>
      <c r="C79" s="286"/>
      <c r="D79" s="286"/>
      <c r="E79" s="286"/>
      <c r="F79" s="286"/>
      <c r="G79" s="286"/>
      <c r="H79" s="48"/>
      <c r="I79" s="71">
        <f>I74</f>
        <v>623.21</v>
      </c>
    </row>
    <row r="80" spans="1:9">
      <c r="A80" s="304" t="s">
        <v>85</v>
      </c>
      <c r="B80" s="304"/>
      <c r="C80" s="304"/>
      <c r="D80" s="304"/>
      <c r="E80" s="304"/>
      <c r="F80" s="304"/>
      <c r="G80" s="304"/>
      <c r="H80" s="117"/>
      <c r="I80" s="82">
        <f>SUM(I77:I79)</f>
        <v>1595.36</v>
      </c>
    </row>
    <row r="81" spans="1:9" ht="26.25" customHeight="1">
      <c r="A81" s="37" t="s">
        <v>122</v>
      </c>
      <c r="B81" s="118"/>
      <c r="C81" s="118"/>
      <c r="D81" s="118"/>
      <c r="E81" s="118"/>
      <c r="F81" s="118"/>
      <c r="G81" s="118"/>
      <c r="H81" s="64"/>
      <c r="I81" s="65"/>
    </row>
    <row r="82" spans="1:9" ht="26.25" customHeight="1">
      <c r="A82" s="119">
        <v>3</v>
      </c>
      <c r="B82" s="305" t="s">
        <v>123</v>
      </c>
      <c r="C82" s="305"/>
      <c r="D82" s="305"/>
      <c r="E82" s="305"/>
      <c r="F82" s="305"/>
      <c r="G82" s="305"/>
      <c r="H82" s="120" t="s">
        <v>89</v>
      </c>
      <c r="I82" s="47" t="s">
        <v>79</v>
      </c>
    </row>
    <row r="83" spans="1:9">
      <c r="A83" s="121" t="s">
        <v>58</v>
      </c>
      <c r="B83" s="306" t="s">
        <v>124</v>
      </c>
      <c r="C83" s="307"/>
      <c r="D83" s="307"/>
      <c r="E83" s="307"/>
      <c r="F83" s="307"/>
      <c r="G83" s="308"/>
      <c r="H83" s="122">
        <f>(100%/12)*'DADOS BÁSICOS LICITAÇÃO'!$Q8</f>
        <v>2.81E-2</v>
      </c>
      <c r="I83" s="123">
        <f>H83*I$43</f>
        <v>51.47</v>
      </c>
    </row>
    <row r="84" spans="1:9">
      <c r="A84" s="69" t="s">
        <v>60</v>
      </c>
      <c r="B84" s="294" t="s">
        <v>125</v>
      </c>
      <c r="C84" s="294"/>
      <c r="D84" s="294"/>
      <c r="E84" s="294"/>
      <c r="F84" s="294"/>
      <c r="G84" s="294"/>
      <c r="H84" s="124">
        <v>0.08</v>
      </c>
      <c r="I84" s="125">
        <f>I83*H84</f>
        <v>4.12</v>
      </c>
    </row>
    <row r="85" spans="1:9" ht="12.75" customHeight="1">
      <c r="A85" s="126" t="s">
        <v>62</v>
      </c>
      <c r="B85" s="302" t="s">
        <v>126</v>
      </c>
      <c r="C85" s="303"/>
      <c r="D85" s="303"/>
      <c r="E85" s="303"/>
      <c r="F85" s="303"/>
      <c r="G85" s="284"/>
      <c r="H85" s="127">
        <f>8%*40%*'DADOS BÁSICOS LICITAÇÃO'!$Q8</f>
        <v>1.0800000000000001E-2</v>
      </c>
      <c r="I85" s="125">
        <f>I$43*H85</f>
        <v>19.78</v>
      </c>
    </row>
    <row r="86" spans="1:9" ht="17.25" customHeight="1">
      <c r="A86" s="128" t="s">
        <v>64</v>
      </c>
      <c r="B86" s="309" t="s">
        <v>127</v>
      </c>
      <c r="C86" s="309"/>
      <c r="D86" s="309"/>
      <c r="E86" s="309"/>
      <c r="F86" s="309"/>
      <c r="G86" s="309"/>
      <c r="H86" s="129">
        <f>(7/30)/12</f>
        <v>1.9400000000000001E-2</v>
      </c>
      <c r="I86" s="130">
        <f>H86*I$43</f>
        <v>35.53</v>
      </c>
    </row>
    <row r="87" spans="1:9">
      <c r="A87" s="69" t="s">
        <v>66</v>
      </c>
      <c r="B87" s="294" t="s">
        <v>128</v>
      </c>
      <c r="C87" s="294"/>
      <c r="D87" s="294"/>
      <c r="E87" s="294"/>
      <c r="F87" s="294"/>
      <c r="G87" s="294"/>
      <c r="H87" s="124">
        <f>H54</f>
        <v>0.36799999999999999</v>
      </c>
      <c r="I87" s="131">
        <f>H87*I86</f>
        <v>13.08</v>
      </c>
    </row>
    <row r="88" spans="1:9" ht="12.75" customHeight="1">
      <c r="A88" s="126" t="s">
        <v>84</v>
      </c>
      <c r="B88" s="302" t="s">
        <v>129</v>
      </c>
      <c r="C88" s="303"/>
      <c r="D88" s="303"/>
      <c r="E88" s="303"/>
      <c r="F88" s="303"/>
      <c r="G88" s="284"/>
      <c r="H88" s="127">
        <f>8%*40%*'DADOS BÁSICOS LICITAÇÃO'!$R8</f>
        <v>1.0800000000000001E-2</v>
      </c>
      <c r="I88" s="125">
        <f>I43*H88</f>
        <v>19.78</v>
      </c>
    </row>
    <row r="89" spans="1:9">
      <c r="A89" s="287" t="s">
        <v>85</v>
      </c>
      <c r="B89" s="287"/>
      <c r="C89" s="287"/>
      <c r="D89" s="287"/>
      <c r="E89" s="287"/>
      <c r="F89" s="287"/>
      <c r="G89" s="287"/>
      <c r="H89" s="113"/>
      <c r="I89" s="80">
        <f>SUM(I83:I88)</f>
        <v>143.76</v>
      </c>
    </row>
    <row r="90" spans="1:9">
      <c r="A90" s="304" t="s">
        <v>130</v>
      </c>
      <c r="B90" s="304"/>
      <c r="C90" s="304"/>
      <c r="D90" s="304"/>
      <c r="E90" s="304"/>
      <c r="F90" s="304"/>
      <c r="G90" s="304"/>
      <c r="H90" s="132" t="s">
        <v>93</v>
      </c>
      <c r="I90" s="133">
        <f>I29</f>
        <v>1533.52</v>
      </c>
    </row>
    <row r="91" spans="1:9">
      <c r="A91" s="304"/>
      <c r="B91" s="304"/>
      <c r="C91" s="304"/>
      <c r="D91" s="304"/>
      <c r="E91" s="304"/>
      <c r="F91" s="304"/>
      <c r="G91" s="304"/>
      <c r="H91" s="132" t="s">
        <v>94</v>
      </c>
      <c r="I91" s="133">
        <f>I80</f>
        <v>1595.36</v>
      </c>
    </row>
    <row r="92" spans="1:9">
      <c r="A92" s="304"/>
      <c r="B92" s="304"/>
      <c r="C92" s="304"/>
      <c r="D92" s="304"/>
      <c r="E92" s="304"/>
      <c r="F92" s="304"/>
      <c r="G92" s="304"/>
      <c r="H92" s="132" t="s">
        <v>95</v>
      </c>
      <c r="I92" s="133">
        <f>I89</f>
        <v>143.76</v>
      </c>
    </row>
    <row r="93" spans="1:9">
      <c r="A93" s="304"/>
      <c r="B93" s="304"/>
      <c r="C93" s="304"/>
      <c r="D93" s="304"/>
      <c r="E93" s="304"/>
      <c r="F93" s="304"/>
      <c r="G93" s="304"/>
      <c r="H93" s="132" t="s">
        <v>85</v>
      </c>
      <c r="I93" s="133">
        <f>SUM(I90:I92)</f>
        <v>3272.64</v>
      </c>
    </row>
    <row r="94" spans="1:9" ht="26.25" customHeight="1">
      <c r="A94" s="37" t="s">
        <v>131</v>
      </c>
      <c r="B94" s="134"/>
      <c r="C94" s="134"/>
      <c r="D94" s="134"/>
      <c r="E94" s="134"/>
      <c r="F94" s="134"/>
      <c r="G94" s="134"/>
      <c r="H94" s="135"/>
      <c r="I94" s="136"/>
    </row>
    <row r="95" spans="1:9" s="137" customFormat="1" ht="63.75" customHeight="1">
      <c r="A95" s="138" t="s">
        <v>132</v>
      </c>
      <c r="B95" s="63" t="s">
        <v>133</v>
      </c>
      <c r="C95" s="63"/>
      <c r="D95" s="63"/>
      <c r="E95" s="63"/>
      <c r="F95" s="63"/>
      <c r="G95" s="63"/>
      <c r="H95" s="67" t="s">
        <v>134</v>
      </c>
      <c r="I95" s="68" t="s">
        <v>79</v>
      </c>
    </row>
    <row r="96" spans="1:9" s="137" customFormat="1" ht="16.5" customHeight="1">
      <c r="A96" s="69" t="s">
        <v>58</v>
      </c>
      <c r="B96" s="301" t="s">
        <v>135</v>
      </c>
      <c r="C96" s="301"/>
      <c r="D96" s="301"/>
      <c r="E96" s="301"/>
      <c r="F96" s="301"/>
      <c r="G96" s="301"/>
      <c r="H96" s="139">
        <f>'DADOS BÁSICOS LICITAÇÃO'!$H$59</f>
        <v>4.8734000000000002</v>
      </c>
      <c r="I96" s="71">
        <f>SUM(I97:I104)</f>
        <v>44.3</v>
      </c>
    </row>
    <row r="97" spans="1:9" s="137" customFormat="1" ht="16.5" customHeight="1">
      <c r="A97" s="140" t="s">
        <v>219</v>
      </c>
      <c r="B97" s="300" t="s">
        <v>211</v>
      </c>
      <c r="C97" s="300"/>
      <c r="D97" s="300"/>
      <c r="E97" s="300"/>
      <c r="F97" s="300"/>
      <c r="G97" s="300"/>
      <c r="H97" s="139">
        <f>'DADOS BÁSICOS LICITAÇÃO'!$H$60</f>
        <v>1</v>
      </c>
      <c r="I97" s="141">
        <f>((I$93/30)*H97)/H$10</f>
        <v>9.09</v>
      </c>
    </row>
    <row r="98" spans="1:9" s="137" customFormat="1" ht="16.5" customHeight="1">
      <c r="A98" s="140" t="s">
        <v>221</v>
      </c>
      <c r="B98" s="300" t="s">
        <v>212</v>
      </c>
      <c r="C98" s="300"/>
      <c r="D98" s="300"/>
      <c r="E98" s="300"/>
      <c r="F98" s="300"/>
      <c r="G98" s="300"/>
      <c r="H98" s="139">
        <f>'DADOS BÁSICOS LICITAÇÃO'!$H$61</f>
        <v>3.4929999999999999</v>
      </c>
      <c r="I98" s="141">
        <f>((I$93/30)*H98)/H$10</f>
        <v>31.75</v>
      </c>
    </row>
    <row r="99" spans="1:9" s="137" customFormat="1" ht="16.5" customHeight="1">
      <c r="A99" s="140" t="s">
        <v>222</v>
      </c>
      <c r="B99" s="300" t="s">
        <v>213</v>
      </c>
      <c r="C99" s="300"/>
      <c r="D99" s="300"/>
      <c r="E99" s="300"/>
      <c r="F99" s="300"/>
      <c r="G99" s="300"/>
      <c r="H99" s="139">
        <f>'DADOS BÁSICOS LICITAÇÃO'!$H$62</f>
        <v>0.26879999999999998</v>
      </c>
      <c r="I99" s="141">
        <f t="shared" ref="I99:I108" si="2">(I$93/30)*(H99/H$10)</f>
        <v>2.44</v>
      </c>
    </row>
    <row r="100" spans="1:9" s="137" customFormat="1" ht="16.5" customHeight="1">
      <c r="A100" s="140" t="s">
        <v>228</v>
      </c>
      <c r="B100" s="300" t="s">
        <v>214</v>
      </c>
      <c r="C100" s="300"/>
      <c r="D100" s="300"/>
      <c r="E100" s="300"/>
      <c r="F100" s="300"/>
      <c r="G100" s="300"/>
      <c r="H100" s="139">
        <f>'DADOS BÁSICOS LICITAÇÃO'!$H$63</f>
        <v>4.2599999999999999E-2</v>
      </c>
      <c r="I100" s="141">
        <f t="shared" si="2"/>
        <v>0.39</v>
      </c>
    </row>
    <row r="101" spans="1:9" s="137" customFormat="1">
      <c r="A101" s="140" t="s">
        <v>229</v>
      </c>
      <c r="B101" s="300" t="s">
        <v>215</v>
      </c>
      <c r="C101" s="300"/>
      <c r="D101" s="300"/>
      <c r="E101" s="300"/>
      <c r="F101" s="300"/>
      <c r="G101" s="300"/>
      <c r="H101" s="139">
        <f>'DADOS BÁSICOS LICITAÇÃO'!$H$64</f>
        <v>3.5400000000000001E-2</v>
      </c>
      <c r="I101" s="141">
        <f t="shared" si="2"/>
        <v>0.32</v>
      </c>
    </row>
    <row r="102" spans="1:9" ht="16.5" customHeight="1">
      <c r="A102" s="140" t="s">
        <v>230</v>
      </c>
      <c r="B102" s="300" t="s">
        <v>216</v>
      </c>
      <c r="C102" s="300"/>
      <c r="D102" s="300"/>
      <c r="E102" s="300"/>
      <c r="F102" s="300"/>
      <c r="G102" s="300"/>
      <c r="H102" s="139">
        <f>'DADOS BÁSICOS LICITAÇÃO'!$H$65</f>
        <v>0.02</v>
      </c>
      <c r="I102" s="141">
        <f t="shared" si="2"/>
        <v>0.18</v>
      </c>
    </row>
    <row r="103" spans="1:9" ht="16.5" customHeight="1">
      <c r="A103" s="140" t="s">
        <v>231</v>
      </c>
      <c r="B103" s="300" t="s">
        <v>217</v>
      </c>
      <c r="C103" s="300"/>
      <c r="D103" s="300"/>
      <c r="E103" s="300"/>
      <c r="F103" s="300"/>
      <c r="G103" s="300"/>
      <c r="H103" s="139">
        <f>'DADOS BÁSICOS LICITAÇÃO'!$H$66</f>
        <v>4.0000000000000001E-3</v>
      </c>
      <c r="I103" s="141">
        <f t="shared" si="2"/>
        <v>0.04</v>
      </c>
    </row>
    <row r="104" spans="1:9" ht="16.5" customHeight="1">
      <c r="A104" s="140" t="s">
        <v>232</v>
      </c>
      <c r="B104" s="300" t="s">
        <v>218</v>
      </c>
      <c r="C104" s="300"/>
      <c r="D104" s="300"/>
      <c r="E104" s="300"/>
      <c r="F104" s="300"/>
      <c r="G104" s="300"/>
      <c r="H104" s="139">
        <f>'DADOS BÁSICOS LICITAÇÃO'!$H$67</f>
        <v>9.5999999999999992E-3</v>
      </c>
      <c r="I104" s="141">
        <f t="shared" si="2"/>
        <v>0.09</v>
      </c>
    </row>
    <row r="105" spans="1:9" ht="16.5" customHeight="1">
      <c r="A105" s="69" t="s">
        <v>60</v>
      </c>
      <c r="B105" s="301" t="s">
        <v>136</v>
      </c>
      <c r="C105" s="301"/>
      <c r="D105" s="301"/>
      <c r="E105" s="301"/>
      <c r="F105" s="301"/>
      <c r="G105" s="301"/>
      <c r="H105" s="139">
        <f>'DADOS BÁSICOS LICITAÇÃO'!$H$68</f>
        <v>0.19980000000000001</v>
      </c>
      <c r="I105" s="71">
        <f t="shared" si="2"/>
        <v>1.82</v>
      </c>
    </row>
    <row r="106" spans="1:9" ht="16.5" customHeight="1">
      <c r="A106" s="69" t="s">
        <v>62</v>
      </c>
      <c r="B106" s="301" t="s">
        <v>137</v>
      </c>
      <c r="C106" s="301"/>
      <c r="D106" s="301"/>
      <c r="E106" s="301"/>
      <c r="F106" s="301"/>
      <c r="G106" s="301"/>
      <c r="H106" s="139">
        <f>'DADOS BÁSICOS LICITAÇÃO'!$H$69</f>
        <v>0.96619999999999995</v>
      </c>
      <c r="I106" s="71">
        <f t="shared" si="2"/>
        <v>8.7799999999999994</v>
      </c>
    </row>
    <row r="107" spans="1:9" ht="16.5" customHeight="1">
      <c r="A107" s="69" t="s">
        <v>64</v>
      </c>
      <c r="B107" s="301" t="s">
        <v>138</v>
      </c>
      <c r="C107" s="301"/>
      <c r="D107" s="301"/>
      <c r="E107" s="301"/>
      <c r="F107" s="301"/>
      <c r="G107" s="301"/>
      <c r="H107" s="139">
        <f>'DADOS BÁSICOS LICITAÇÃO'!$H$70</f>
        <v>2.4771999999999998</v>
      </c>
      <c r="I107" s="71">
        <f t="shared" si="2"/>
        <v>22.52</v>
      </c>
    </row>
    <row r="108" spans="1:9" ht="16.5" customHeight="1">
      <c r="A108" s="41" t="s">
        <v>66</v>
      </c>
      <c r="B108" s="301" t="s">
        <v>139</v>
      </c>
      <c r="C108" s="301"/>
      <c r="D108" s="301"/>
      <c r="E108" s="301"/>
      <c r="F108" s="301"/>
      <c r="G108" s="301"/>
      <c r="H108" s="139">
        <f>'DADOS BÁSICOS LICITAÇÃO'!$H$71</f>
        <v>0</v>
      </c>
      <c r="I108" s="71">
        <f t="shared" si="2"/>
        <v>0</v>
      </c>
    </row>
    <row r="109" spans="1:9">
      <c r="A109" s="287" t="s">
        <v>85</v>
      </c>
      <c r="B109" s="287"/>
      <c r="C109" s="287"/>
      <c r="D109" s="287"/>
      <c r="E109" s="287"/>
      <c r="F109" s="287"/>
      <c r="G109" s="287"/>
      <c r="H109" s="142">
        <f>H96+H105+H106+H107+H108</f>
        <v>8.5166000000000004</v>
      </c>
      <c r="I109" s="80">
        <f>I96+I105+I106+I107+I108</f>
        <v>77.42</v>
      </c>
    </row>
    <row r="110" spans="1:9">
      <c r="A110" s="143" t="s">
        <v>140</v>
      </c>
      <c r="B110" s="290" t="s">
        <v>141</v>
      </c>
      <c r="C110" s="290"/>
      <c r="D110" s="290"/>
      <c r="E110" s="290"/>
      <c r="F110" s="290"/>
      <c r="G110" s="290"/>
      <c r="H110" s="144"/>
      <c r="I110" s="145" t="s">
        <v>79</v>
      </c>
    </row>
    <row r="111" spans="1:9" ht="16.5" customHeight="1">
      <c r="A111" s="69" t="s">
        <v>58</v>
      </c>
      <c r="B111" s="286" t="s">
        <v>142</v>
      </c>
      <c r="C111" s="286"/>
      <c r="D111" s="286"/>
      <c r="E111" s="286"/>
      <c r="F111" s="286"/>
      <c r="G111" s="286"/>
      <c r="H111" s="48"/>
      <c r="I111" s="146">
        <v>0</v>
      </c>
    </row>
    <row r="112" spans="1:9" ht="14.25" customHeight="1">
      <c r="A112" s="287" t="s">
        <v>85</v>
      </c>
      <c r="B112" s="287"/>
      <c r="C112" s="287"/>
      <c r="D112" s="287"/>
      <c r="E112" s="287"/>
      <c r="F112" s="287"/>
      <c r="G112" s="287"/>
      <c r="H112" s="113"/>
      <c r="I112" s="147">
        <f>SUM(I111:I111)</f>
        <v>0</v>
      </c>
    </row>
    <row r="113" spans="1:9">
      <c r="A113" s="37" t="s">
        <v>143</v>
      </c>
      <c r="B113" s="63"/>
      <c r="C113" s="63"/>
      <c r="D113" s="63"/>
      <c r="E113" s="63"/>
      <c r="F113" s="63"/>
      <c r="G113" s="63"/>
      <c r="H113" s="64"/>
      <c r="I113" s="65"/>
    </row>
    <row r="114" spans="1:9" ht="16.5" customHeight="1">
      <c r="A114" s="66">
        <v>4</v>
      </c>
      <c r="B114" s="288" t="s">
        <v>144</v>
      </c>
      <c r="C114" s="288"/>
      <c r="D114" s="288"/>
      <c r="E114" s="288"/>
      <c r="F114" s="288"/>
      <c r="G114" s="288"/>
      <c r="H114" s="148"/>
      <c r="I114" s="68" t="s">
        <v>79</v>
      </c>
    </row>
    <row r="115" spans="1:9" ht="16.5" customHeight="1">
      <c r="A115" s="85" t="s">
        <v>132</v>
      </c>
      <c r="B115" s="284" t="s">
        <v>133</v>
      </c>
      <c r="C115" s="284"/>
      <c r="D115" s="284"/>
      <c r="E115" s="284"/>
      <c r="F115" s="284"/>
      <c r="G115" s="284"/>
      <c r="H115" s="149"/>
      <c r="I115" s="71">
        <f>I109</f>
        <v>77.42</v>
      </c>
    </row>
    <row r="116" spans="1:9" ht="16.5" customHeight="1">
      <c r="A116" s="85" t="s">
        <v>140</v>
      </c>
      <c r="B116" s="299" t="s">
        <v>145</v>
      </c>
      <c r="C116" s="299"/>
      <c r="D116" s="299"/>
      <c r="E116" s="299"/>
      <c r="F116" s="299"/>
      <c r="G116" s="299"/>
      <c r="H116" s="150"/>
      <c r="I116" s="71">
        <f>I112</f>
        <v>0</v>
      </c>
    </row>
    <row r="117" spans="1:9">
      <c r="A117" s="298" t="s">
        <v>85</v>
      </c>
      <c r="B117" s="298"/>
      <c r="C117" s="298"/>
      <c r="D117" s="298"/>
      <c r="E117" s="298"/>
      <c r="F117" s="298"/>
      <c r="G117" s="298"/>
      <c r="H117" s="151"/>
      <c r="I117" s="80">
        <f>SUM(I115:I116)</f>
        <v>77.42</v>
      </c>
    </row>
    <row r="118" spans="1:9" ht="24" customHeight="1">
      <c r="A118" s="37" t="s">
        <v>146</v>
      </c>
      <c r="B118" s="38"/>
      <c r="C118" s="38"/>
      <c r="D118" s="38"/>
      <c r="E118" s="38"/>
      <c r="F118" s="38"/>
      <c r="G118" s="38"/>
      <c r="H118" s="39"/>
      <c r="I118" s="152"/>
    </row>
    <row r="119" spans="1:9" ht="16.5" customHeight="1">
      <c r="A119" s="66">
        <v>5</v>
      </c>
      <c r="B119" s="288" t="s">
        <v>147</v>
      </c>
      <c r="C119" s="288"/>
      <c r="D119" s="288"/>
      <c r="E119" s="288"/>
      <c r="F119" s="288"/>
      <c r="G119" s="288"/>
      <c r="H119" s="148"/>
      <c r="I119" s="68" t="s">
        <v>79</v>
      </c>
    </row>
    <row r="120" spans="1:9">
      <c r="A120" s="154" t="s">
        <v>58</v>
      </c>
      <c r="B120" s="377" t="s">
        <v>40</v>
      </c>
      <c r="C120" s="378"/>
      <c r="D120" s="378"/>
      <c r="E120" s="378"/>
      <c r="F120" s="378"/>
      <c r="G120" s="379"/>
      <c r="H120" s="149"/>
      <c r="I120" s="71">
        <f>SUM(I121:I123)</f>
        <v>95.28</v>
      </c>
    </row>
    <row r="121" spans="1:9" ht="16.5" customHeight="1">
      <c r="A121" s="155" t="s">
        <v>219</v>
      </c>
      <c r="B121" s="286" t="s">
        <v>220</v>
      </c>
      <c r="C121" s="286"/>
      <c r="D121" s="286"/>
      <c r="E121" s="286"/>
      <c r="F121" s="286"/>
      <c r="G121" s="286"/>
      <c r="H121" s="156"/>
      <c r="I121" s="57">
        <f>'DADOS BÁSICOS LICITAÇÃO'!$D$46</f>
        <v>63.52</v>
      </c>
    </row>
    <row r="122" spans="1:9" ht="16.5" customHeight="1">
      <c r="A122" s="158" t="s">
        <v>221</v>
      </c>
      <c r="B122" s="296" t="s">
        <v>223</v>
      </c>
      <c r="C122" s="296"/>
      <c r="D122" s="296"/>
      <c r="E122" s="296"/>
      <c r="F122" s="296"/>
      <c r="G122" s="296"/>
      <c r="H122" s="159">
        <f>(ROUNDUP(((H109*H11)/(365*0.6986)),0))/H11</f>
        <v>0.5</v>
      </c>
      <c r="I122" s="160">
        <f>'DADOS BÁSICOS LICITAÇÃO'!$D$46*H122</f>
        <v>31.76</v>
      </c>
    </row>
    <row r="123" spans="1:9" ht="16.5" customHeight="1">
      <c r="A123" s="108" t="s">
        <v>222</v>
      </c>
      <c r="B123" s="297" t="s">
        <v>209</v>
      </c>
      <c r="C123" s="297"/>
      <c r="D123" s="297"/>
      <c r="E123" s="297"/>
      <c r="F123" s="297"/>
      <c r="G123" s="297"/>
      <c r="H123" s="161">
        <v>0</v>
      </c>
      <c r="I123" s="162">
        <f>'DADOS BÁSICOS LICITAÇÃO'!$D$46*H123</f>
        <v>0</v>
      </c>
    </row>
    <row r="124" spans="1:9" ht="12.75" customHeight="1">
      <c r="A124" s="154" t="s">
        <v>60</v>
      </c>
      <c r="B124" s="295" t="s">
        <v>44</v>
      </c>
      <c r="C124" s="295"/>
      <c r="D124" s="295"/>
      <c r="E124" s="295"/>
      <c r="F124" s="295"/>
      <c r="G124" s="295"/>
      <c r="H124" s="149"/>
      <c r="I124" s="163">
        <f>'DADOS BÁSICOS LICITAÇÃO'!$D$50/H10</f>
        <v>0</v>
      </c>
    </row>
    <row r="125" spans="1:9" ht="12.75" customHeight="1">
      <c r="A125" s="154" t="s">
        <v>62</v>
      </c>
      <c r="B125" s="295" t="s">
        <v>47</v>
      </c>
      <c r="C125" s="295"/>
      <c r="D125" s="295"/>
      <c r="E125" s="295"/>
      <c r="F125" s="295"/>
      <c r="G125" s="295"/>
      <c r="H125" s="149"/>
      <c r="I125" s="163">
        <f>SUM(I126:I128)</f>
        <v>0.27</v>
      </c>
    </row>
    <row r="126" spans="1:9" ht="12.75" customHeight="1">
      <c r="A126" s="69" t="s">
        <v>224</v>
      </c>
      <c r="B126" s="286" t="s">
        <v>226</v>
      </c>
      <c r="C126" s="286"/>
      <c r="D126" s="286"/>
      <c r="E126" s="286"/>
      <c r="F126" s="286"/>
      <c r="G126" s="286"/>
      <c r="H126" s="149"/>
      <c r="I126" s="163">
        <f>('DADOS BÁSICOS LICITAÇÃO'!$G$54/'DADOS BÁSICOS LICITAÇÃO'!$C$54)/($H$11+'RECEPÇÃO 1º ANO'!$H$11)</f>
        <v>0.28999999999999998</v>
      </c>
    </row>
    <row r="127" spans="1:9" ht="16.5" customHeight="1">
      <c r="A127" s="158" t="s">
        <v>225</v>
      </c>
      <c r="B127" s="296" t="s">
        <v>227</v>
      </c>
      <c r="C127" s="296"/>
      <c r="D127" s="296"/>
      <c r="E127" s="296"/>
      <c r="F127" s="296"/>
      <c r="G127" s="296"/>
      <c r="H127" s="159"/>
      <c r="I127" s="165">
        <f>(('DADOS BÁSICOS LICITAÇÃO'!$G$54/'DADOS BÁSICOS LICITAÇÃO'!$C$54)/($H$11+'RECEPÇÃO 1º ANO'!$H$11+(ROUNDUP(((H109*H11)/(365*0.6986)),0)+(ROUNDUP((('RECEPÇÃO 1º ANO'!H109*'RECEPÇÃO 1º ANO'!H11)/(365*0.6986)),0)))))-I126</f>
        <v>-0.02</v>
      </c>
    </row>
    <row r="128" spans="1:9" ht="19.5" customHeight="1">
      <c r="A128" s="108" t="s">
        <v>225</v>
      </c>
      <c r="B128" s="297" t="s">
        <v>210</v>
      </c>
      <c r="C128" s="297"/>
      <c r="D128" s="297"/>
      <c r="E128" s="297"/>
      <c r="F128" s="297"/>
      <c r="G128" s="297"/>
      <c r="H128" s="161"/>
      <c r="I128" s="166">
        <v>0</v>
      </c>
    </row>
    <row r="129" spans="1:9" ht="12.75" customHeight="1">
      <c r="A129" s="287" t="s">
        <v>85</v>
      </c>
      <c r="B129" s="287"/>
      <c r="C129" s="287"/>
      <c r="D129" s="287"/>
      <c r="E129" s="287"/>
      <c r="F129" s="287"/>
      <c r="G129" s="287"/>
      <c r="H129" s="113"/>
      <c r="I129" s="167">
        <f>I120+I124+I125</f>
        <v>95.55</v>
      </c>
    </row>
    <row r="130" spans="1:9" ht="12.75" customHeight="1">
      <c r="A130" s="289" t="s">
        <v>148</v>
      </c>
      <c r="B130" s="289"/>
      <c r="C130" s="289"/>
      <c r="D130" s="289"/>
      <c r="E130" s="289"/>
      <c r="F130" s="289"/>
      <c r="G130" s="289"/>
      <c r="H130" s="132" t="s">
        <v>93</v>
      </c>
      <c r="I130" s="168">
        <f>I29</f>
        <v>1533.52</v>
      </c>
    </row>
    <row r="131" spans="1:9" ht="16.5" customHeight="1">
      <c r="A131" s="289"/>
      <c r="B131" s="289"/>
      <c r="C131" s="289"/>
      <c r="D131" s="289"/>
      <c r="E131" s="289"/>
      <c r="F131" s="289"/>
      <c r="G131" s="289"/>
      <c r="H131" s="132" t="s">
        <v>94</v>
      </c>
      <c r="I131" s="168">
        <f>I80</f>
        <v>1595.36</v>
      </c>
    </row>
    <row r="132" spans="1:9" ht="12.75" customHeight="1">
      <c r="A132" s="289"/>
      <c r="B132" s="289"/>
      <c r="C132" s="289"/>
      <c r="D132" s="289"/>
      <c r="E132" s="289"/>
      <c r="F132" s="289"/>
      <c r="G132" s="289"/>
      <c r="H132" s="132" t="s">
        <v>95</v>
      </c>
      <c r="I132" s="168">
        <f>I89</f>
        <v>143.76</v>
      </c>
    </row>
    <row r="133" spans="1:9">
      <c r="A133" s="289"/>
      <c r="B133" s="289"/>
      <c r="C133" s="289"/>
      <c r="D133" s="289"/>
      <c r="E133" s="289"/>
      <c r="F133" s="289"/>
      <c r="G133" s="289"/>
      <c r="H133" s="132" t="s">
        <v>96</v>
      </c>
      <c r="I133" s="168">
        <f>I117</f>
        <v>77.42</v>
      </c>
    </row>
    <row r="134" spans="1:9">
      <c r="A134" s="289"/>
      <c r="B134" s="289"/>
      <c r="C134" s="289"/>
      <c r="D134" s="289"/>
      <c r="E134" s="289"/>
      <c r="F134" s="289"/>
      <c r="G134" s="289"/>
      <c r="H134" s="132" t="s">
        <v>97</v>
      </c>
      <c r="I134" s="82">
        <f>I129</f>
        <v>95.55</v>
      </c>
    </row>
    <row r="135" spans="1:9">
      <c r="A135" s="289"/>
      <c r="B135" s="289"/>
      <c r="C135" s="289"/>
      <c r="D135" s="289"/>
      <c r="E135" s="289"/>
      <c r="F135" s="289"/>
      <c r="G135" s="289"/>
      <c r="H135" s="132" t="s">
        <v>85</v>
      </c>
      <c r="I135" s="82">
        <f>SUM(I130:I134)</f>
        <v>3445.61</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LICITAÇÃO'!$S8</f>
        <v>0.05</v>
      </c>
      <c r="I138" s="71">
        <f>(H138*I135)</f>
        <v>172.28</v>
      </c>
    </row>
    <row r="139" spans="1:9">
      <c r="A139" s="69" t="s">
        <v>60</v>
      </c>
      <c r="B139" s="291" t="s">
        <v>152</v>
      </c>
      <c r="C139" s="292"/>
      <c r="D139" s="292"/>
      <c r="E139" s="292"/>
      <c r="F139" s="292"/>
      <c r="G139" s="293"/>
      <c r="H139" s="124">
        <f>'DADOS BÁSICOS LICITAÇÃO'!$T8</f>
        <v>0.05</v>
      </c>
      <c r="I139" s="71">
        <f>H139*(I135+I138)</f>
        <v>180.89</v>
      </c>
    </row>
    <row r="140" spans="1:9">
      <c r="A140" s="69" t="s">
        <v>62</v>
      </c>
      <c r="B140" s="294" t="s">
        <v>153</v>
      </c>
      <c r="C140" s="294"/>
      <c r="D140" s="294"/>
      <c r="E140" s="294"/>
      <c r="F140" s="294"/>
      <c r="G140" s="294"/>
      <c r="H140" s="169">
        <f>SUM(H141+H142+H143)</f>
        <v>8.6499999999999994E-2</v>
      </c>
      <c r="I140" s="170">
        <f>SUM(I141:I143)</f>
        <v>359.7</v>
      </c>
    </row>
    <row r="141" spans="1:9">
      <c r="A141" s="154"/>
      <c r="B141" s="286" t="s">
        <v>154</v>
      </c>
      <c r="C141" s="286"/>
      <c r="D141" s="286"/>
      <c r="E141" s="286"/>
      <c r="F141" s="286"/>
      <c r="G141" s="286"/>
      <c r="H141" s="127">
        <f>IF('DADOS BÁSICOS LICITAÇÃO'!$B$25="LUCRO PRESUMIDO",'DADOS BÁSICOS LICITAÇÃO'!$B$28,'DADOS BÁSICOS LICITAÇÃO'!$C$28)</f>
        <v>0.03</v>
      </c>
      <c r="I141" s="71">
        <f>SUM(H141*I154)</f>
        <v>124.75</v>
      </c>
    </row>
    <row r="142" spans="1:9">
      <c r="A142" s="154"/>
      <c r="B142" s="286" t="s">
        <v>155</v>
      </c>
      <c r="C142" s="286"/>
      <c r="D142" s="286"/>
      <c r="E142" s="286"/>
      <c r="F142" s="286"/>
      <c r="G142" s="286"/>
      <c r="H142" s="127">
        <f>IF('DADOS BÁSICOS LICITAÇÃO'!$B$25="LUCRO PRESUMIDO",'DADOS BÁSICOS LICITAÇÃO'!$B$27,'DADOS BÁSICOS LICITAÇÃO'!$C$27)</f>
        <v>6.4999999999999997E-3</v>
      </c>
      <c r="I142" s="71">
        <f>SUM(H142*I154)</f>
        <v>27.03</v>
      </c>
    </row>
    <row r="143" spans="1:9">
      <c r="A143" s="154"/>
      <c r="B143" s="286" t="s">
        <v>156</v>
      </c>
      <c r="C143" s="286"/>
      <c r="D143" s="286"/>
      <c r="E143" s="286"/>
      <c r="F143" s="286"/>
      <c r="G143" s="286"/>
      <c r="H143" s="127">
        <f>'DADOS BÁSICOS LICITAÇÃO'!U8</f>
        <v>0.05</v>
      </c>
      <c r="I143" s="71">
        <f>SUM(H143*I154)</f>
        <v>207.92</v>
      </c>
    </row>
    <row r="144" spans="1:9">
      <c r="A144" s="287" t="s">
        <v>85</v>
      </c>
      <c r="B144" s="287"/>
      <c r="C144" s="287"/>
      <c r="D144" s="287"/>
      <c r="E144" s="287"/>
      <c r="F144" s="287"/>
      <c r="G144" s="287"/>
      <c r="H144" s="171"/>
      <c r="I144" s="80">
        <f>SUM(I138+I139+I141+I142+I143)</f>
        <v>712.87</v>
      </c>
    </row>
    <row r="145" spans="1:9">
      <c r="A145" s="172" t="s">
        <v>157</v>
      </c>
      <c r="B145" s="173"/>
      <c r="C145" s="173"/>
      <c r="D145" s="173"/>
      <c r="E145" s="173"/>
      <c r="F145" s="173"/>
      <c r="G145" s="173"/>
      <c r="H145" s="174"/>
      <c r="I145" s="175"/>
    </row>
    <row r="146" spans="1:9">
      <c r="A146" s="288" t="s">
        <v>158</v>
      </c>
      <c r="B146" s="288"/>
      <c r="C146" s="288"/>
      <c r="D146" s="288"/>
      <c r="E146" s="288"/>
      <c r="F146" s="288"/>
      <c r="G146" s="288"/>
      <c r="H146" s="148"/>
      <c r="I146" s="84" t="s">
        <v>79</v>
      </c>
    </row>
    <row r="147" spans="1:9">
      <c r="A147" s="176" t="s">
        <v>58</v>
      </c>
      <c r="B147" s="284" t="s">
        <v>159</v>
      </c>
      <c r="C147" s="284"/>
      <c r="D147" s="284"/>
      <c r="E147" s="284"/>
      <c r="F147" s="284"/>
      <c r="G147" s="284"/>
      <c r="H147" s="48"/>
      <c r="I147" s="177">
        <f>I29</f>
        <v>1533.52</v>
      </c>
    </row>
    <row r="148" spans="1:9">
      <c r="A148" s="176" t="s">
        <v>60</v>
      </c>
      <c r="B148" s="284" t="s">
        <v>121</v>
      </c>
      <c r="C148" s="284"/>
      <c r="D148" s="284"/>
      <c r="E148" s="284"/>
      <c r="F148" s="284"/>
      <c r="G148" s="284"/>
      <c r="H148" s="178"/>
      <c r="I148" s="177">
        <f>I80</f>
        <v>1595.36</v>
      </c>
    </row>
    <row r="149" spans="1:9">
      <c r="A149" s="176" t="s">
        <v>62</v>
      </c>
      <c r="B149" s="284" t="s">
        <v>160</v>
      </c>
      <c r="C149" s="284"/>
      <c r="D149" s="284"/>
      <c r="E149" s="284"/>
      <c r="F149" s="284"/>
      <c r="G149" s="284"/>
      <c r="H149" s="178"/>
      <c r="I149" s="177">
        <f>I89</f>
        <v>143.76</v>
      </c>
    </row>
    <row r="150" spans="1:9">
      <c r="A150" s="176" t="s">
        <v>64</v>
      </c>
      <c r="B150" s="284" t="s">
        <v>144</v>
      </c>
      <c r="C150" s="284"/>
      <c r="D150" s="284"/>
      <c r="E150" s="284"/>
      <c r="F150" s="284"/>
      <c r="G150" s="284"/>
      <c r="H150" s="178"/>
      <c r="I150" s="177">
        <f>I117</f>
        <v>77.42</v>
      </c>
    </row>
    <row r="151" spans="1:9">
      <c r="A151" s="176" t="s">
        <v>66</v>
      </c>
      <c r="B151" s="284" t="s">
        <v>161</v>
      </c>
      <c r="C151" s="284"/>
      <c r="D151" s="284"/>
      <c r="E151" s="284"/>
      <c r="F151" s="284"/>
      <c r="G151" s="284"/>
      <c r="H151" s="178"/>
      <c r="I151" s="177">
        <f>I129</f>
        <v>95.55</v>
      </c>
    </row>
    <row r="152" spans="1:9">
      <c r="A152" s="285" t="s">
        <v>162</v>
      </c>
      <c r="B152" s="285"/>
      <c r="C152" s="285"/>
      <c r="D152" s="285"/>
      <c r="E152" s="285"/>
      <c r="F152" s="285"/>
      <c r="G152" s="285"/>
      <c r="H152" s="179"/>
      <c r="I152" s="180">
        <f>SUM(I147:I151)</f>
        <v>3445.61</v>
      </c>
    </row>
    <row r="153" spans="1:9">
      <c r="A153" s="181" t="s">
        <v>84</v>
      </c>
      <c r="B153" s="286" t="s">
        <v>163</v>
      </c>
      <c r="C153" s="286"/>
      <c r="D153" s="286"/>
      <c r="E153" s="286"/>
      <c r="F153" s="286"/>
      <c r="G153" s="286"/>
      <c r="H153" s="48"/>
      <c r="I153" s="182">
        <f>I144</f>
        <v>712.87</v>
      </c>
    </row>
    <row r="154" spans="1:9" ht="17" thickBot="1">
      <c r="A154" s="285" t="s">
        <v>164</v>
      </c>
      <c r="B154" s="285"/>
      <c r="C154" s="285"/>
      <c r="D154" s="285"/>
      <c r="E154" s="285"/>
      <c r="F154" s="285"/>
      <c r="G154" s="285"/>
      <c r="H154" s="183"/>
      <c r="I154" s="184">
        <f>SUM(I152+I138+I139)/(1-H140)</f>
        <v>4158.49</v>
      </c>
    </row>
    <row r="155" spans="1:9">
      <c r="A155" s="172" t="s">
        <v>165</v>
      </c>
      <c r="B155" s="185"/>
      <c r="C155" s="185"/>
      <c r="D155" s="185"/>
      <c r="E155" s="185"/>
      <c r="F155" s="185"/>
      <c r="G155" s="185"/>
      <c r="H155" s="186" t="s">
        <v>166</v>
      </c>
      <c r="I155" s="185" t="s">
        <v>79</v>
      </c>
    </row>
    <row r="156" spans="1:9">
      <c r="A156" s="43" t="s">
        <v>198</v>
      </c>
      <c r="B156" s="283" t="s">
        <v>27</v>
      </c>
      <c r="C156" s="283"/>
      <c r="D156" s="283"/>
      <c r="E156" s="283"/>
      <c r="F156" s="283"/>
      <c r="G156" s="283"/>
      <c r="H156" s="187">
        <f>H11</f>
        <v>2</v>
      </c>
      <c r="I156" s="188">
        <f>H156*I154</f>
        <v>8316.98</v>
      </c>
    </row>
    <row r="157" spans="1:9">
      <c r="I157" s="35"/>
    </row>
    <row r="158" spans="1:9">
      <c r="I158" s="35"/>
    </row>
    <row r="159" spans="1:9">
      <c r="I159" s="35"/>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qst52XCC3tzwneWKWn7zExC+K03Qg0d9MyOQv4RgfM5llQwbSv29sw0nCN2D9utWLMfRyleIk2Fg0gf3vSpcZQ==" saltValue="u7VEI8qe4L+mOHvTzuMIKA==" spinCount="100000" sheet="1" objects="1" scenarios="1"/>
  <mergeCells count="156">
    <mergeCell ref="B20:G20"/>
    <mergeCell ref="H20:I20"/>
    <mergeCell ref="B28:D28"/>
    <mergeCell ref="E28:G28"/>
    <mergeCell ref="B83:G83"/>
    <mergeCell ref="B85:G85"/>
    <mergeCell ref="B88:G88"/>
    <mergeCell ref="A1:I1"/>
    <mergeCell ref="A6:I6"/>
    <mergeCell ref="B10:G10"/>
    <mergeCell ref="H10:I10"/>
    <mergeCell ref="B11:G11"/>
    <mergeCell ref="H11:I11"/>
    <mergeCell ref="B13:G13"/>
    <mergeCell ref="H13:I13"/>
    <mergeCell ref="B7:G7"/>
    <mergeCell ref="H7:I7"/>
    <mergeCell ref="B8:G8"/>
    <mergeCell ref="H8:I8"/>
    <mergeCell ref="B9:G9"/>
    <mergeCell ref="H9:I9"/>
    <mergeCell ref="B17:G17"/>
    <mergeCell ref="H17:I17"/>
    <mergeCell ref="B18:G18"/>
    <mergeCell ref="H18:I18"/>
    <mergeCell ref="B19:G19"/>
    <mergeCell ref="H19:I19"/>
    <mergeCell ref="B14:G14"/>
    <mergeCell ref="H14:I14"/>
    <mergeCell ref="B15:G15"/>
    <mergeCell ref="H15:I15"/>
    <mergeCell ref="B16:G16"/>
    <mergeCell ref="H16:I16"/>
    <mergeCell ref="B22:G22"/>
    <mergeCell ref="B23:G23"/>
    <mergeCell ref="B24:G24"/>
    <mergeCell ref="B25:G25"/>
    <mergeCell ref="B26:G26"/>
    <mergeCell ref="B27:G27"/>
    <mergeCell ref="C34:G34"/>
    <mergeCell ref="C35:G35"/>
    <mergeCell ref="C37:G37"/>
    <mergeCell ref="A41:G43"/>
    <mergeCell ref="B45:G45"/>
    <mergeCell ref="B46:G46"/>
    <mergeCell ref="B47:G47"/>
    <mergeCell ref="B48:G48"/>
    <mergeCell ref="B49:G49"/>
    <mergeCell ref="A29:G29"/>
    <mergeCell ref="B31:G31"/>
    <mergeCell ref="B32:G32"/>
    <mergeCell ref="B33:G33"/>
    <mergeCell ref="A40:G40"/>
    <mergeCell ref="C38:G38"/>
    <mergeCell ref="C39:G39"/>
    <mergeCell ref="C36:G36"/>
    <mergeCell ref="B79:G79"/>
    <mergeCell ref="B65:G65"/>
    <mergeCell ref="B66:G66"/>
    <mergeCell ref="B50:G50"/>
    <mergeCell ref="B51:G51"/>
    <mergeCell ref="B52:G52"/>
    <mergeCell ref="B53:G53"/>
    <mergeCell ref="A54:G54"/>
    <mergeCell ref="B56:G56"/>
    <mergeCell ref="B57:G57"/>
    <mergeCell ref="B69:G69"/>
    <mergeCell ref="I57:I60"/>
    <mergeCell ref="B58:G58"/>
    <mergeCell ref="B59:G59"/>
    <mergeCell ref="B60:G60"/>
    <mergeCell ref="B61:G61"/>
    <mergeCell ref="I61:I64"/>
    <mergeCell ref="B62:G62"/>
    <mergeCell ref="B63:G63"/>
    <mergeCell ref="B64:G64"/>
    <mergeCell ref="B110:G110"/>
    <mergeCell ref="B67:G67"/>
    <mergeCell ref="B68:G68"/>
    <mergeCell ref="B70:G70"/>
    <mergeCell ref="B71:G71"/>
    <mergeCell ref="B72:G72"/>
    <mergeCell ref="B87:G87"/>
    <mergeCell ref="A89:G89"/>
    <mergeCell ref="A90:G93"/>
    <mergeCell ref="A80:G80"/>
    <mergeCell ref="B82:G82"/>
    <mergeCell ref="B84:G84"/>
    <mergeCell ref="B86:G86"/>
    <mergeCell ref="B99:G99"/>
    <mergeCell ref="B100:G100"/>
    <mergeCell ref="B101:G101"/>
    <mergeCell ref="B102:G102"/>
    <mergeCell ref="B103:G103"/>
    <mergeCell ref="B104:G104"/>
    <mergeCell ref="B73:G73"/>
    <mergeCell ref="A74:G74"/>
    <mergeCell ref="B76:G76"/>
    <mergeCell ref="B77:G77"/>
    <mergeCell ref="B78:G78"/>
    <mergeCell ref="B105:G105"/>
    <mergeCell ref="B106:G106"/>
    <mergeCell ref="B96:G96"/>
    <mergeCell ref="B97:G97"/>
    <mergeCell ref="B98:G98"/>
    <mergeCell ref="B138:G138"/>
    <mergeCell ref="B139:G139"/>
    <mergeCell ref="B140:G140"/>
    <mergeCell ref="B141:G141"/>
    <mergeCell ref="B119:G119"/>
    <mergeCell ref="B127:G127"/>
    <mergeCell ref="B128:G128"/>
    <mergeCell ref="A129:G129"/>
    <mergeCell ref="A130:G135"/>
    <mergeCell ref="B137:G137"/>
    <mergeCell ref="B107:G107"/>
    <mergeCell ref="B108:G108"/>
    <mergeCell ref="B111:G111"/>
    <mergeCell ref="A112:G112"/>
    <mergeCell ref="B114:G114"/>
    <mergeCell ref="B115:G115"/>
    <mergeCell ref="B116:G116"/>
    <mergeCell ref="A117:G117"/>
    <mergeCell ref="A109:G109"/>
    <mergeCell ref="A154:G154"/>
    <mergeCell ref="B120:G120"/>
    <mergeCell ref="B121:G121"/>
    <mergeCell ref="B122:G122"/>
    <mergeCell ref="B123:G123"/>
    <mergeCell ref="B124:G124"/>
    <mergeCell ref="B125:G125"/>
    <mergeCell ref="B126:G126"/>
    <mergeCell ref="B156:G156"/>
    <mergeCell ref="B148:G148"/>
    <mergeCell ref="B149:G149"/>
    <mergeCell ref="B150:G150"/>
    <mergeCell ref="B151:G151"/>
    <mergeCell ref="A152:G152"/>
    <mergeCell ref="B153:G153"/>
    <mergeCell ref="B142:G142"/>
    <mergeCell ref="B143:G143"/>
    <mergeCell ref="A144:G144"/>
    <mergeCell ref="A146:G146"/>
    <mergeCell ref="B147:G147"/>
    <mergeCell ref="A5:B5"/>
    <mergeCell ref="C5:D5"/>
    <mergeCell ref="E5:I5"/>
    <mergeCell ref="A2:B2"/>
    <mergeCell ref="C2:D2"/>
    <mergeCell ref="E2:I2"/>
    <mergeCell ref="A3:B3"/>
    <mergeCell ref="C3:D3"/>
    <mergeCell ref="E3:I3"/>
    <mergeCell ref="A4:B4"/>
    <mergeCell ref="C4:D4"/>
    <mergeCell ref="E4:I4"/>
  </mergeCells>
  <pageMargins left="0.511811024" right="0.511811024" top="0.78740157500000008" bottom="0.78740157500000008" header="0.31496062000000008" footer="0.31496062000000008"/>
  <pageSetup paperSize="9" scale="65" fitToWidth="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
  <sheetViews>
    <sheetView workbookViewId="0">
      <selection activeCell="K162" sqref="A1:XFD1048576"/>
    </sheetView>
  </sheetViews>
  <sheetFormatPr defaultColWidth="8.7265625" defaultRowHeight="16.5"/>
  <cols>
    <col min="1" max="1" width="7.54296875" style="228" bestFit="1" customWidth="1"/>
    <col min="2" max="2" width="5.7265625" style="228" bestFit="1" customWidth="1"/>
    <col min="3" max="3" width="42.54296875" style="228" bestFit="1" customWidth="1"/>
    <col min="4" max="4" width="15.7265625" style="228" bestFit="1" customWidth="1"/>
    <col min="5" max="5" width="15.54296875" style="228" bestFit="1" customWidth="1"/>
    <col min="6" max="6" width="13.54296875" style="228" bestFit="1" customWidth="1"/>
    <col min="7" max="7" width="17.81640625" style="228" customWidth="1"/>
    <col min="8" max="8" width="17.7265625" style="228" bestFit="1" customWidth="1"/>
    <col min="9" max="9" width="15.81640625" style="228" customWidth="1"/>
    <col min="10" max="10" width="15.81640625" style="228" bestFit="1" customWidth="1"/>
    <col min="11" max="11" width="17.7265625" style="228" customWidth="1"/>
    <col min="12" max="13" width="8.7265625" style="228" customWidth="1"/>
    <col min="14" max="14" width="15.81640625" style="228" bestFit="1" customWidth="1"/>
    <col min="15" max="15" width="8.7265625" style="228" customWidth="1"/>
    <col min="16" max="16384" width="8.7265625" style="228"/>
  </cols>
  <sheetData>
    <row r="1" spans="1:9">
      <c r="A1" s="396" t="s">
        <v>0</v>
      </c>
      <c r="B1" s="396"/>
      <c r="C1" s="396"/>
      <c r="D1" s="396"/>
      <c r="E1" s="396"/>
      <c r="F1" s="396"/>
      <c r="G1" s="396"/>
      <c r="H1" s="396"/>
      <c r="I1" s="396"/>
    </row>
    <row r="2" spans="1:9">
      <c r="A2" s="396"/>
      <c r="B2" s="396"/>
      <c r="C2" s="396"/>
      <c r="D2" s="396"/>
      <c r="E2" s="396"/>
      <c r="F2" s="396"/>
      <c r="G2" s="396"/>
      <c r="H2" s="396"/>
      <c r="I2" s="396"/>
    </row>
    <row r="3" spans="1:9">
      <c r="A3" s="396"/>
      <c r="B3" s="396"/>
      <c r="C3" s="396"/>
      <c r="D3" s="396"/>
      <c r="E3" s="396"/>
      <c r="F3" s="396"/>
      <c r="G3" s="396"/>
      <c r="H3" s="396"/>
      <c r="I3" s="396"/>
    </row>
    <row r="5" spans="1:9" ht="17" thickBot="1"/>
    <row r="6" spans="1:9" ht="63.75" customHeight="1">
      <c r="A6" s="229" t="s">
        <v>1</v>
      </c>
      <c r="B6" s="230" t="s">
        <v>2</v>
      </c>
      <c r="C6" s="231" t="s">
        <v>3</v>
      </c>
      <c r="D6" s="231" t="s">
        <v>4</v>
      </c>
      <c r="E6" s="231" t="s">
        <v>5</v>
      </c>
      <c r="F6" s="232" t="s">
        <v>6</v>
      </c>
      <c r="G6" s="231" t="s">
        <v>167</v>
      </c>
      <c r="H6" s="231" t="s">
        <v>7</v>
      </c>
      <c r="I6" s="233" t="s">
        <v>8</v>
      </c>
    </row>
    <row r="7" spans="1:9">
      <c r="A7" s="398">
        <v>1</v>
      </c>
      <c r="B7" s="234">
        <v>1</v>
      </c>
      <c r="C7" s="235" t="s">
        <v>173</v>
      </c>
      <c r="D7" s="236" t="str">
        <f>'RECEPÇÃO 1º ANO'!H8</f>
        <v>Curitiba/PR</v>
      </c>
      <c r="E7" s="236">
        <f>'RECEPÇÃO 1º ANO'!H11</f>
        <v>46</v>
      </c>
      <c r="F7" s="236">
        <v>1</v>
      </c>
      <c r="G7" s="237">
        <f>'RECEPÇÃO 1º ANO'!I154</f>
        <v>4691.46</v>
      </c>
      <c r="H7" s="237">
        <f>G7*E7</f>
        <v>215807.16</v>
      </c>
      <c r="I7" s="238">
        <f>H7*12</f>
        <v>2589685.92</v>
      </c>
    </row>
    <row r="8" spans="1:9">
      <c r="A8" s="398"/>
      <c r="B8" s="234">
        <v>2</v>
      </c>
      <c r="C8" s="235" t="s">
        <v>173</v>
      </c>
      <c r="D8" s="236" t="str">
        <f>'RECEPÇÃO 1º ANO'!J8</f>
        <v>Guarapuava/PR</v>
      </c>
      <c r="E8" s="236">
        <f>'RECEPÇÃO 1º ANO'!J11</f>
        <v>4</v>
      </c>
      <c r="F8" s="236">
        <v>1</v>
      </c>
      <c r="G8" s="237">
        <f>'RECEPÇÃO 1º ANO'!K154</f>
        <v>4650.49</v>
      </c>
      <c r="H8" s="237">
        <f t="shared" ref="H8:H13" si="0">G8*E8</f>
        <v>18601.96</v>
      </c>
      <c r="I8" s="238">
        <f t="shared" ref="I8:I13" si="1">H8*12</f>
        <v>223223.52</v>
      </c>
    </row>
    <row r="9" spans="1:9">
      <c r="A9" s="398"/>
      <c r="B9" s="234">
        <v>3</v>
      </c>
      <c r="C9" s="235" t="s">
        <v>173</v>
      </c>
      <c r="D9" s="236" t="str">
        <f>'RECEPÇÃO 1º ANO'!L8</f>
        <v>Londrina/PR</v>
      </c>
      <c r="E9" s="236">
        <f>'RECEPÇÃO 1º ANO'!L11</f>
        <v>14</v>
      </c>
      <c r="F9" s="236">
        <v>1</v>
      </c>
      <c r="G9" s="237">
        <f>'RECEPÇÃO 1º ANO'!M154</f>
        <v>4630.1499999999996</v>
      </c>
      <c r="H9" s="237">
        <f t="shared" si="0"/>
        <v>64822.1</v>
      </c>
      <c r="I9" s="238">
        <f t="shared" si="1"/>
        <v>777865.2</v>
      </c>
    </row>
    <row r="10" spans="1:9">
      <c r="A10" s="398"/>
      <c r="B10" s="234">
        <v>4</v>
      </c>
      <c r="C10" s="235" t="s">
        <v>173</v>
      </c>
      <c r="D10" s="236" t="str">
        <f>'RECEPÇÃO 1º ANO'!N8</f>
        <v>Maringá/PR</v>
      </c>
      <c r="E10" s="236">
        <f>'RECEPÇÃO 1º ANO'!N11</f>
        <v>12</v>
      </c>
      <c r="F10" s="236">
        <v>1</v>
      </c>
      <c r="G10" s="237">
        <f>'RECEPÇÃO 1º ANO'!O154</f>
        <v>4584.2299999999996</v>
      </c>
      <c r="H10" s="237">
        <f t="shared" si="0"/>
        <v>55010.76</v>
      </c>
      <c r="I10" s="238">
        <f t="shared" si="1"/>
        <v>660129.12</v>
      </c>
    </row>
    <row r="11" spans="1:9">
      <c r="A11" s="398"/>
      <c r="B11" s="234">
        <v>5</v>
      </c>
      <c r="C11" s="235" t="s">
        <v>173</v>
      </c>
      <c r="D11" s="236" t="str">
        <f>'RECEPÇÃO 1º ANO'!P8</f>
        <v>Paranaguá/PR</v>
      </c>
      <c r="E11" s="236">
        <f>'RECEPÇÃO 1º ANO'!P11</f>
        <v>6</v>
      </c>
      <c r="F11" s="236">
        <v>1</v>
      </c>
      <c r="G11" s="237">
        <f>'RECEPÇÃO 1º ANO'!Q154</f>
        <v>4609.0200000000004</v>
      </c>
      <c r="H11" s="237">
        <f t="shared" si="0"/>
        <v>27654.12</v>
      </c>
      <c r="I11" s="238">
        <f t="shared" si="1"/>
        <v>331849.44</v>
      </c>
    </row>
    <row r="12" spans="1:9">
      <c r="A12" s="398"/>
      <c r="B12" s="234">
        <v>6</v>
      </c>
      <c r="C12" s="235" t="s">
        <v>173</v>
      </c>
      <c r="D12" s="236" t="str">
        <f>'RECEPÇÃO 1º ANO'!R8</f>
        <v>Ponta Grossa/PR</v>
      </c>
      <c r="E12" s="236">
        <f>'RECEPÇÃO 1º ANO'!R11</f>
        <v>4</v>
      </c>
      <c r="F12" s="236">
        <v>1</v>
      </c>
      <c r="G12" s="237">
        <f>'RECEPÇÃO 1º ANO'!S154</f>
        <v>4699.43</v>
      </c>
      <c r="H12" s="237">
        <f t="shared" si="0"/>
        <v>18797.72</v>
      </c>
      <c r="I12" s="238">
        <f t="shared" si="1"/>
        <v>225572.64</v>
      </c>
    </row>
    <row r="13" spans="1:9">
      <c r="A13" s="398"/>
      <c r="B13" s="234">
        <v>7</v>
      </c>
      <c r="C13" s="235" t="s">
        <v>174</v>
      </c>
      <c r="D13" s="236" t="str">
        <f>'TELEFONISTA 1º ANO'!H8</f>
        <v>Curitiba/PR</v>
      </c>
      <c r="E13" s="236">
        <f>'TELEFONISTA 1º ANO'!H11</f>
        <v>2</v>
      </c>
      <c r="F13" s="236">
        <v>1</v>
      </c>
      <c r="G13" s="237">
        <f>'TELEFONISTA 1º ANO'!I154</f>
        <v>4158.49</v>
      </c>
      <c r="H13" s="237">
        <f t="shared" si="0"/>
        <v>8316.98</v>
      </c>
      <c r="I13" s="238">
        <f t="shared" si="1"/>
        <v>99803.76</v>
      </c>
    </row>
    <row r="14" spans="1:9" ht="17" thickBot="1">
      <c r="A14" s="399" t="s">
        <v>178</v>
      </c>
      <c r="B14" s="400"/>
      <c r="C14" s="400"/>
      <c r="D14" s="400"/>
      <c r="E14" s="239">
        <f>SUM(E7:E13)</f>
        <v>88</v>
      </c>
      <c r="F14" s="239">
        <v>1</v>
      </c>
      <c r="G14" s="240"/>
      <c r="H14" s="241">
        <f>SUM(H7:H13)</f>
        <v>409010.8</v>
      </c>
      <c r="I14" s="242">
        <f>SUM(I7:I13)</f>
        <v>4908129.5999999996</v>
      </c>
    </row>
    <row r="15" spans="1:9">
      <c r="C15" s="243"/>
      <c r="D15" s="243"/>
      <c r="E15" s="243"/>
      <c r="F15" s="243"/>
      <c r="G15" s="243"/>
    </row>
    <row r="16" spans="1:9">
      <c r="B16" s="244"/>
      <c r="C16" s="244"/>
      <c r="D16" s="244"/>
      <c r="E16" s="244"/>
      <c r="F16" s="244"/>
      <c r="G16" s="244"/>
      <c r="H16" s="244"/>
      <c r="I16" s="244"/>
    </row>
    <row r="17" spans="3:7">
      <c r="C17" s="397"/>
      <c r="D17" s="397"/>
      <c r="E17" s="397"/>
      <c r="F17" s="245"/>
      <c r="G17" s="245"/>
    </row>
    <row r="18" spans="3:7">
      <c r="E18" s="243"/>
      <c r="F18" s="243"/>
      <c r="G18" s="243"/>
    </row>
    <row r="19" spans="3:7">
      <c r="E19" s="243"/>
      <c r="F19" s="243"/>
      <c r="G19" s="243"/>
    </row>
    <row r="20" spans="3:7">
      <c r="E20" s="243"/>
      <c r="F20" s="243"/>
      <c r="G20" s="243"/>
    </row>
  </sheetData>
  <sheetProtection algorithmName="SHA-512" hashValue="Yz1/9Zc7Vrs4Dek7zqUsMqvgv2YR6Vosm94xsMZjJTrhgDnM+FV9epLW39J/aBsbOJpAJ2f128htfwcRaJ9BRQ==" saltValue="rTLK5pcyHHlFZIcJgH8xBA==" spinCount="100000" sheet="1" objects="1" scenarios="1"/>
  <mergeCells count="4">
    <mergeCell ref="A1:I3"/>
    <mergeCell ref="C17:E17"/>
    <mergeCell ref="A7:A13"/>
    <mergeCell ref="A14:D14"/>
  </mergeCells>
  <pageMargins left="0.511811023622047" right="0.511811023622047" top="0.78740157480315021" bottom="0.78740157480315021" header="0.31496062992126012" footer="0.31496062992126012"/>
  <pageSetup paperSize="9" scale="54" fitToWidth="0" fitToHeight="0"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D519F-5205-4E9B-BD64-5E3A04705F64}">
  <dimension ref="A1:O273"/>
  <sheetViews>
    <sheetView topLeftCell="A124" zoomScale="90" zoomScaleNormal="90" workbookViewId="0">
      <selection activeCell="K156" sqref="K156"/>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9.1796875" style="35" bestFit="1" customWidth="1"/>
    <col min="8" max="8" width="15.81640625" style="35" bestFit="1" customWidth="1"/>
    <col min="9" max="9" width="13.54296875" style="189" bestFit="1" customWidth="1"/>
    <col min="10" max="10" width="11.7265625" style="35" customWidth="1"/>
    <col min="11" max="16384" width="11.7265625" style="35"/>
  </cols>
  <sheetData>
    <row r="1" spans="1:9" ht="52.5" customHeight="1">
      <c r="A1" s="401" t="s">
        <v>260</v>
      </c>
      <c r="B1" s="402"/>
      <c r="C1" s="402"/>
      <c r="D1" s="402"/>
      <c r="E1" s="402"/>
      <c r="F1" s="402"/>
      <c r="G1" s="402"/>
      <c r="H1" s="402"/>
      <c r="I1" s="402"/>
    </row>
    <row r="2" spans="1:9" ht="12.75" customHeight="1">
      <c r="A2" s="349" t="s">
        <v>54</v>
      </c>
      <c r="B2" s="349"/>
      <c r="C2" s="349"/>
      <c r="D2" s="349"/>
      <c r="E2" s="349"/>
      <c r="F2" s="349"/>
      <c r="G2" s="349"/>
      <c r="H2" s="349"/>
      <c r="I2" s="349"/>
    </row>
    <row r="3" spans="1:9" ht="12.75" customHeight="1">
      <c r="A3" s="349" t="s">
        <v>55</v>
      </c>
      <c r="B3" s="349"/>
      <c r="C3" s="349"/>
      <c r="D3" s="349"/>
      <c r="E3" s="349"/>
      <c r="F3" s="349"/>
      <c r="G3" s="349"/>
      <c r="H3" s="349"/>
      <c r="I3" s="349"/>
    </row>
    <row r="4" spans="1:9" ht="12.75" customHeight="1">
      <c r="A4" s="350" t="s">
        <v>56</v>
      </c>
      <c r="B4" s="350"/>
      <c r="C4" s="350"/>
      <c r="D4" s="350"/>
      <c r="E4" s="350"/>
      <c r="F4" s="350"/>
      <c r="G4" s="350"/>
      <c r="H4" s="350"/>
      <c r="I4" s="350"/>
    </row>
    <row r="5" spans="1:9" ht="12.75" customHeight="1">
      <c r="A5" s="351"/>
      <c r="B5" s="351"/>
      <c r="C5" s="351"/>
      <c r="D5" s="351"/>
      <c r="E5" s="351"/>
      <c r="F5" s="351"/>
      <c r="G5" s="351"/>
      <c r="H5" s="351"/>
      <c r="I5" s="351"/>
    </row>
    <row r="6" spans="1:9" ht="21" customHeight="1" thickBot="1">
      <c r="A6" s="352" t="s">
        <v>57</v>
      </c>
      <c r="B6" s="352"/>
      <c r="C6" s="352"/>
      <c r="D6" s="352"/>
      <c r="E6" s="352"/>
      <c r="F6" s="352"/>
      <c r="G6" s="352"/>
      <c r="H6" s="352"/>
      <c r="I6" s="352"/>
    </row>
    <row r="7" spans="1:9" ht="12.75" customHeight="1">
      <c r="A7" s="36" t="s">
        <v>58</v>
      </c>
      <c r="B7" s="302" t="s">
        <v>59</v>
      </c>
      <c r="C7" s="303"/>
      <c r="D7" s="303"/>
      <c r="E7" s="303"/>
      <c r="F7" s="303"/>
      <c r="G7" s="284"/>
      <c r="H7" s="346">
        <f ca="1">'DADOS BÁSICOS 2º ANO'!$A$4</f>
        <v>44344</v>
      </c>
      <c r="I7" s="346"/>
    </row>
    <row r="8" spans="1:9" ht="12.75" customHeight="1">
      <c r="A8" s="36" t="s">
        <v>60</v>
      </c>
      <c r="B8" s="286" t="s">
        <v>61</v>
      </c>
      <c r="C8" s="286"/>
      <c r="D8" s="286"/>
      <c r="E8" s="286"/>
      <c r="F8" s="286"/>
      <c r="G8" s="286"/>
      <c r="H8" s="345" t="str">
        <f>'DADOS BÁSICOS 2º ANO'!A8</f>
        <v>Curitiba/PR</v>
      </c>
      <c r="I8" s="345"/>
    </row>
    <row r="9" spans="1:9" ht="12.75" customHeight="1">
      <c r="A9" s="36" t="s">
        <v>62</v>
      </c>
      <c r="B9" s="286" t="s">
        <v>63</v>
      </c>
      <c r="C9" s="286"/>
      <c r="D9" s="286"/>
      <c r="E9" s="286"/>
      <c r="F9" s="286"/>
      <c r="G9" s="286"/>
      <c r="H9" s="344" t="str">
        <f>'DADOS BÁSICOS 2º ANO'!D8</f>
        <v>PR000326/2021</v>
      </c>
      <c r="I9" s="344"/>
    </row>
    <row r="10" spans="1:9" ht="12.75" customHeight="1">
      <c r="A10" s="36" t="s">
        <v>64</v>
      </c>
      <c r="B10" s="286" t="s">
        <v>65</v>
      </c>
      <c r="C10" s="286"/>
      <c r="D10" s="286"/>
      <c r="E10" s="286"/>
      <c r="F10" s="286"/>
      <c r="G10" s="286"/>
      <c r="H10" s="344">
        <f>'DADOS BÁSICOS 2º ANO'!$E$17</f>
        <v>12</v>
      </c>
      <c r="I10" s="344"/>
    </row>
    <row r="11" spans="1:9" ht="12.75" customHeight="1">
      <c r="A11" s="36" t="s">
        <v>66</v>
      </c>
      <c r="B11" s="286" t="s">
        <v>67</v>
      </c>
      <c r="C11" s="286"/>
      <c r="D11" s="286"/>
      <c r="E11" s="286"/>
      <c r="F11" s="286"/>
      <c r="G11" s="286"/>
      <c r="H11" s="344">
        <f>'DADOS BÁSICOS 2º ANO'!B8</f>
        <v>46</v>
      </c>
      <c r="I11" s="344"/>
    </row>
    <row r="12" spans="1:9" ht="12.75" customHeight="1">
      <c r="A12" s="37" t="s">
        <v>68</v>
      </c>
      <c r="B12" s="38"/>
      <c r="C12" s="38"/>
      <c r="D12" s="38"/>
      <c r="E12" s="38"/>
      <c r="F12" s="38"/>
      <c r="G12" s="38"/>
      <c r="H12" s="39"/>
      <c r="I12" s="40"/>
    </row>
    <row r="13" spans="1:9" ht="27" customHeight="1">
      <c r="A13" s="36">
        <v>1</v>
      </c>
      <c r="B13" s="286" t="s">
        <v>69</v>
      </c>
      <c r="C13" s="286"/>
      <c r="D13" s="286"/>
      <c r="E13" s="286"/>
      <c r="F13" s="286"/>
      <c r="G13" s="286"/>
      <c r="H13" s="343" t="s">
        <v>70</v>
      </c>
      <c r="I13" s="343"/>
    </row>
    <row r="14" spans="1:9" ht="12.75" customHeight="1">
      <c r="A14" s="36">
        <v>2</v>
      </c>
      <c r="B14" s="286" t="s">
        <v>71</v>
      </c>
      <c r="C14" s="286"/>
      <c r="D14" s="286"/>
      <c r="E14" s="286"/>
      <c r="F14" s="286"/>
      <c r="G14" s="286"/>
      <c r="H14" s="342" t="str">
        <f>'DADOS BÁSICOS 2º ANO'!$A$17</f>
        <v>4221-05</v>
      </c>
      <c r="I14" s="342"/>
    </row>
    <row r="15" spans="1:9" ht="15" customHeight="1">
      <c r="A15" s="36">
        <v>4</v>
      </c>
      <c r="B15" s="286" t="s">
        <v>73</v>
      </c>
      <c r="C15" s="286"/>
      <c r="D15" s="286"/>
      <c r="E15" s="286"/>
      <c r="F15" s="286"/>
      <c r="G15" s="286"/>
      <c r="H15" s="342" t="str">
        <f>'DADOS BÁSICOS 2º ANO'!$B$17</f>
        <v>Recepcionista</v>
      </c>
      <c r="I15" s="342"/>
    </row>
    <row r="16" spans="1:9" ht="12.75" customHeight="1">
      <c r="A16" s="41">
        <v>5</v>
      </c>
      <c r="B16" s="286" t="s">
        <v>74</v>
      </c>
      <c r="C16" s="286"/>
      <c r="D16" s="286"/>
      <c r="E16" s="286"/>
      <c r="F16" s="286"/>
      <c r="G16" s="286"/>
      <c r="H16" s="384">
        <f>'DADOS BÁSICOS 2º ANO'!E8</f>
        <v>44228</v>
      </c>
      <c r="I16" s="384"/>
    </row>
    <row r="17" spans="1:9" ht="12.75" customHeight="1">
      <c r="A17" s="36">
        <v>3</v>
      </c>
      <c r="B17" s="286" t="s">
        <v>72</v>
      </c>
      <c r="C17" s="286"/>
      <c r="D17" s="286"/>
      <c r="E17" s="286"/>
      <c r="F17" s="286"/>
      <c r="G17" s="286"/>
      <c r="H17" s="383">
        <f>'DADOS BÁSICOS 2º ANO'!H8</f>
        <v>1516.66</v>
      </c>
      <c r="I17" s="383"/>
    </row>
    <row r="18" spans="1:9" ht="12.75" customHeight="1">
      <c r="A18" s="43">
        <v>6</v>
      </c>
      <c r="B18" s="284" t="s">
        <v>233</v>
      </c>
      <c r="C18" s="284"/>
      <c r="D18" s="284"/>
      <c r="E18" s="284"/>
      <c r="F18" s="284"/>
      <c r="G18" s="284"/>
      <c r="H18" s="382">
        <f>'DADOS BÁSICOS 2º ANO'!G8</f>
        <v>220</v>
      </c>
      <c r="I18" s="382"/>
    </row>
    <row r="19" spans="1:9" ht="12.75" customHeight="1">
      <c r="A19" s="43">
        <v>6</v>
      </c>
      <c r="B19" s="303" t="s">
        <v>234</v>
      </c>
      <c r="C19" s="303"/>
      <c r="D19" s="303"/>
      <c r="E19" s="303"/>
      <c r="F19" s="303"/>
      <c r="G19" s="284"/>
      <c r="H19" s="336">
        <f>'DADOS BÁSICOS 2º ANO'!$C$17</f>
        <v>200</v>
      </c>
      <c r="I19" s="337"/>
    </row>
    <row r="20" spans="1:9" ht="12.75" customHeight="1">
      <c r="A20" s="43">
        <v>7</v>
      </c>
      <c r="B20" s="284" t="s">
        <v>75</v>
      </c>
      <c r="C20" s="284"/>
      <c r="D20" s="284"/>
      <c r="E20" s="284"/>
      <c r="F20" s="284"/>
      <c r="G20" s="284"/>
      <c r="H20" s="336">
        <f>'DADOS BÁSICOS 2º ANO'!$F$17</f>
        <v>22</v>
      </c>
      <c r="I20" s="337"/>
    </row>
    <row r="21" spans="1:9">
      <c r="A21" s="44" t="s">
        <v>76</v>
      </c>
      <c r="B21" s="38"/>
      <c r="C21" s="38"/>
      <c r="D21" s="38"/>
      <c r="E21" s="38"/>
      <c r="F21" s="38"/>
      <c r="G21" s="38"/>
      <c r="H21" s="39"/>
      <c r="I21" s="40"/>
    </row>
    <row r="22" spans="1:9" ht="12.75" customHeight="1">
      <c r="A22" s="45">
        <v>1</v>
      </c>
      <c r="B22" s="288" t="s">
        <v>77</v>
      </c>
      <c r="C22" s="288"/>
      <c r="D22" s="288"/>
      <c r="E22" s="288"/>
      <c r="F22" s="288"/>
      <c r="G22" s="288"/>
      <c r="H22" s="46" t="s">
        <v>78</v>
      </c>
      <c r="I22" s="47" t="s">
        <v>79</v>
      </c>
    </row>
    <row r="23" spans="1:9" ht="12.75" customHeight="1">
      <c r="A23" s="36" t="s">
        <v>58</v>
      </c>
      <c r="B23" s="286" t="s">
        <v>235</v>
      </c>
      <c r="C23" s="286"/>
      <c r="D23" s="286"/>
      <c r="E23" s="286"/>
      <c r="F23" s="286"/>
      <c r="G23" s="286"/>
      <c r="H23" s="48"/>
      <c r="I23" s="57">
        <f>H17/'DADOS BÁSICOS 2º ANO'!G8*'MEMÓRIA DE CÁLCULO REF 2º ANO'!H19</f>
        <v>1378.78</v>
      </c>
    </row>
    <row r="24" spans="1:9" ht="12.75" customHeight="1">
      <c r="A24" s="36" t="s">
        <v>60</v>
      </c>
      <c r="B24" s="335" t="s">
        <v>80</v>
      </c>
      <c r="C24" s="335"/>
      <c r="D24" s="335"/>
      <c r="E24" s="335"/>
      <c r="F24" s="335"/>
      <c r="G24" s="335"/>
      <c r="H24" s="50">
        <v>0.3</v>
      </c>
      <c r="I24" s="71">
        <f>I23*H24</f>
        <v>413.63</v>
      </c>
    </row>
    <row r="25" spans="1:9" s="55" customFormat="1" ht="12.75" customHeight="1">
      <c r="A25" s="52" t="s">
        <v>62</v>
      </c>
      <c r="B25" s="335" t="s">
        <v>81</v>
      </c>
      <c r="C25" s="335"/>
      <c r="D25" s="335"/>
      <c r="E25" s="335"/>
      <c r="F25" s="335"/>
      <c r="G25" s="335"/>
      <c r="H25" s="53"/>
      <c r="I25" s="54"/>
    </row>
    <row r="26" spans="1:9" s="55" customFormat="1" ht="12.75" customHeight="1">
      <c r="A26" s="52" t="s">
        <v>64</v>
      </c>
      <c r="B26" s="286" t="s">
        <v>82</v>
      </c>
      <c r="C26" s="286"/>
      <c r="D26" s="286"/>
      <c r="E26" s="286"/>
      <c r="F26" s="286"/>
      <c r="G26" s="286"/>
      <c r="H26" s="56"/>
      <c r="I26" s="57"/>
    </row>
    <row r="27" spans="1:9" s="55" customFormat="1" ht="12.75" customHeight="1">
      <c r="A27" s="52" t="s">
        <v>66</v>
      </c>
      <c r="B27" s="286" t="s">
        <v>83</v>
      </c>
      <c r="C27" s="286"/>
      <c r="D27" s="286"/>
      <c r="E27" s="326"/>
      <c r="F27" s="326"/>
      <c r="G27" s="326"/>
      <c r="H27" s="58"/>
      <c r="I27" s="57"/>
    </row>
    <row r="28" spans="1:9" s="55" customFormat="1" ht="12.75" customHeight="1">
      <c r="A28" s="59" t="s">
        <v>84</v>
      </c>
      <c r="B28" s="327" t="s">
        <v>171</v>
      </c>
      <c r="C28" s="328"/>
      <c r="D28" s="328"/>
      <c r="E28" s="329" t="s">
        <v>172</v>
      </c>
      <c r="F28" s="330"/>
      <c r="G28" s="331"/>
      <c r="H28" s="60">
        <f>'DADOS BÁSICOS 2º ANO'!$C$22</f>
        <v>1.05</v>
      </c>
      <c r="I28" s="57">
        <f>(((I23+I24)/H19)*(1.5))*H28</f>
        <v>14.12</v>
      </c>
    </row>
    <row r="29" spans="1:9" s="55" customFormat="1" ht="12.75" customHeight="1">
      <c r="A29" s="332" t="s">
        <v>85</v>
      </c>
      <c r="B29" s="332"/>
      <c r="C29" s="332"/>
      <c r="D29" s="332"/>
      <c r="E29" s="333"/>
      <c r="F29" s="333"/>
      <c r="G29" s="333"/>
      <c r="H29" s="61"/>
      <c r="I29" s="62">
        <f>SUM(I23:I28)</f>
        <v>1806.53</v>
      </c>
    </row>
    <row r="30" spans="1:9">
      <c r="A30" s="37" t="s">
        <v>86</v>
      </c>
      <c r="B30" s="63"/>
      <c r="C30" s="63"/>
      <c r="D30" s="63"/>
      <c r="E30" s="63"/>
      <c r="F30" s="63"/>
      <c r="G30" s="63"/>
      <c r="H30" s="64"/>
      <c r="I30" s="65"/>
    </row>
    <row r="31" spans="1:9" ht="18" customHeight="1">
      <c r="A31" s="66" t="s">
        <v>87</v>
      </c>
      <c r="B31" s="334" t="s">
        <v>88</v>
      </c>
      <c r="C31" s="334"/>
      <c r="D31" s="334"/>
      <c r="E31" s="334"/>
      <c r="F31" s="334"/>
      <c r="G31" s="334"/>
      <c r="H31" s="67" t="s">
        <v>89</v>
      </c>
      <c r="I31" s="68" t="s">
        <v>79</v>
      </c>
    </row>
    <row r="32" spans="1:9">
      <c r="A32" s="69" t="s">
        <v>58</v>
      </c>
      <c r="B32" s="286" t="s">
        <v>90</v>
      </c>
      <c r="C32" s="286"/>
      <c r="D32" s="286"/>
      <c r="E32" s="286"/>
      <c r="F32" s="286"/>
      <c r="G32" s="286"/>
      <c r="H32" s="70">
        <f>1/12</f>
        <v>8.3299999999999999E-2</v>
      </c>
      <c r="I32" s="71">
        <f>I$29*H$32</f>
        <v>150.47999999999999</v>
      </c>
    </row>
    <row r="33" spans="1:15">
      <c r="A33" s="69" t="s">
        <v>60</v>
      </c>
      <c r="B33" s="286" t="s">
        <v>91</v>
      </c>
      <c r="C33" s="286"/>
      <c r="D33" s="286"/>
      <c r="E33" s="286"/>
      <c r="F33" s="286"/>
      <c r="G33" s="286"/>
      <c r="H33" s="70">
        <f>SUM(H34:H39)</f>
        <v>0.12720000000000001</v>
      </c>
      <c r="I33" s="71">
        <f>SUM(I34:I39)</f>
        <v>229.8</v>
      </c>
    </row>
    <row r="34" spans="1:15">
      <c r="A34" s="69"/>
      <c r="B34" s="69" t="s">
        <v>183</v>
      </c>
      <c r="C34" s="302" t="s">
        <v>188</v>
      </c>
      <c r="D34" s="303"/>
      <c r="E34" s="303"/>
      <c r="F34" s="303"/>
      <c r="G34" s="284"/>
      <c r="H34" s="70">
        <f>(1/3)/12</f>
        <v>2.7799999999999998E-2</v>
      </c>
      <c r="I34" s="71">
        <f t="shared" ref="I34:I39" si="0">I$29*H34</f>
        <v>50.22</v>
      </c>
    </row>
    <row r="35" spans="1:15" ht="16.5" customHeight="1">
      <c r="A35" s="72"/>
      <c r="B35" s="72" t="s">
        <v>184</v>
      </c>
      <c r="C35" s="320" t="s">
        <v>205</v>
      </c>
      <c r="D35" s="321"/>
      <c r="E35" s="321"/>
      <c r="F35" s="321"/>
      <c r="G35" s="322"/>
      <c r="H35" s="73">
        <f>1/12</f>
        <v>8.3299999999999999E-2</v>
      </c>
      <c r="I35" s="246">
        <f t="shared" si="0"/>
        <v>150.47999999999999</v>
      </c>
    </row>
    <row r="36" spans="1:15" ht="16.5" customHeight="1">
      <c r="A36" s="72"/>
      <c r="B36" s="72" t="s">
        <v>266</v>
      </c>
      <c r="C36" s="320" t="s">
        <v>267</v>
      </c>
      <c r="D36" s="321"/>
      <c r="E36" s="321"/>
      <c r="F36" s="321"/>
      <c r="G36" s="322"/>
      <c r="H36" s="73">
        <v>0</v>
      </c>
      <c r="I36" s="74">
        <f t="shared" si="0"/>
        <v>0</v>
      </c>
      <c r="J36" s="164"/>
    </row>
    <row r="37" spans="1:15" ht="16.5" customHeight="1">
      <c r="A37" s="76"/>
      <c r="B37" s="76" t="s">
        <v>185</v>
      </c>
      <c r="C37" s="323" t="s">
        <v>206</v>
      </c>
      <c r="D37" s="324"/>
      <c r="E37" s="324"/>
      <c r="F37" s="324"/>
      <c r="G37" s="325"/>
      <c r="H37" s="77">
        <f>((H11/12)/12)/H11</f>
        <v>6.8999999999999999E-3</v>
      </c>
      <c r="I37" s="226">
        <f t="shared" si="0"/>
        <v>12.47</v>
      </c>
    </row>
    <row r="38" spans="1:15" ht="16.5" customHeight="1">
      <c r="A38" s="76"/>
      <c r="B38" s="76" t="s">
        <v>186</v>
      </c>
      <c r="C38" s="323" t="s">
        <v>207</v>
      </c>
      <c r="D38" s="324"/>
      <c r="E38" s="324"/>
      <c r="F38" s="324"/>
      <c r="G38" s="325"/>
      <c r="H38" s="77">
        <f>H37/3</f>
        <v>2.3E-3</v>
      </c>
      <c r="I38" s="226">
        <f t="shared" si="0"/>
        <v>4.16</v>
      </c>
    </row>
    <row r="39" spans="1:15">
      <c r="A39" s="76"/>
      <c r="B39" s="76" t="s">
        <v>187</v>
      </c>
      <c r="C39" s="323" t="s">
        <v>208</v>
      </c>
      <c r="D39" s="324"/>
      <c r="E39" s="324"/>
      <c r="F39" s="324"/>
      <c r="G39" s="325"/>
      <c r="H39" s="77">
        <f>((H11/12)/12)/H11</f>
        <v>6.8999999999999999E-3</v>
      </c>
      <c r="I39" s="226">
        <f t="shared" si="0"/>
        <v>12.47</v>
      </c>
    </row>
    <row r="40" spans="1:15">
      <c r="A40" s="287" t="s">
        <v>85</v>
      </c>
      <c r="B40" s="287"/>
      <c r="C40" s="287"/>
      <c r="D40" s="287"/>
      <c r="E40" s="287"/>
      <c r="F40" s="287"/>
      <c r="G40" s="287"/>
      <c r="H40" s="79">
        <f>SUM(H32:H33)</f>
        <v>0.21049999999999999</v>
      </c>
      <c r="I40" s="80">
        <f>SUM(I32:I33)</f>
        <v>380.28</v>
      </c>
    </row>
    <row r="41" spans="1:15">
      <c r="A41" s="304" t="s">
        <v>92</v>
      </c>
      <c r="B41" s="304"/>
      <c r="C41" s="304"/>
      <c r="D41" s="304"/>
      <c r="E41" s="304"/>
      <c r="F41" s="304"/>
      <c r="G41" s="304"/>
      <c r="H41" s="81" t="s">
        <v>93</v>
      </c>
      <c r="I41" s="82">
        <f>I29</f>
        <v>1806.53</v>
      </c>
    </row>
    <row r="42" spans="1:15">
      <c r="A42" s="304"/>
      <c r="B42" s="304"/>
      <c r="C42" s="304"/>
      <c r="D42" s="304"/>
      <c r="E42" s="304"/>
      <c r="F42" s="304"/>
      <c r="G42" s="304"/>
      <c r="H42" s="81" t="s">
        <v>99</v>
      </c>
      <c r="I42" s="82">
        <f>I40</f>
        <v>380.28</v>
      </c>
    </row>
    <row r="43" spans="1:15" ht="33" customHeight="1">
      <c r="A43" s="304"/>
      <c r="B43" s="304"/>
      <c r="C43" s="304"/>
      <c r="D43" s="304"/>
      <c r="E43" s="304"/>
      <c r="F43" s="304"/>
      <c r="G43" s="304"/>
      <c r="H43" s="81" t="s">
        <v>85</v>
      </c>
      <c r="I43" s="82">
        <f>SUM(I41:I42)</f>
        <v>2186.81</v>
      </c>
    </row>
    <row r="44" spans="1:15" ht="19.5" customHeight="1">
      <c r="A44" s="37" t="s">
        <v>105</v>
      </c>
      <c r="B44" s="63"/>
      <c r="C44" s="63"/>
      <c r="D44" s="63"/>
      <c r="E44" s="63"/>
      <c r="F44" s="63"/>
      <c r="G44" s="63"/>
      <c r="H44" s="64"/>
      <c r="I44" s="65"/>
    </row>
    <row r="45" spans="1:15" ht="12.75" customHeight="1">
      <c r="A45" s="83" t="s">
        <v>106</v>
      </c>
      <c r="B45" s="288" t="s">
        <v>107</v>
      </c>
      <c r="C45" s="288"/>
      <c r="D45" s="288"/>
      <c r="E45" s="288"/>
      <c r="F45" s="288"/>
      <c r="G45" s="288"/>
      <c r="H45" s="67" t="s">
        <v>89</v>
      </c>
      <c r="I45" s="84" t="s">
        <v>79</v>
      </c>
      <c r="O45" s="164"/>
    </row>
    <row r="46" spans="1:15" ht="12.75" customHeight="1">
      <c r="A46" s="85" t="s">
        <v>58</v>
      </c>
      <c r="B46" s="286" t="s">
        <v>32</v>
      </c>
      <c r="C46" s="286"/>
      <c r="D46" s="286"/>
      <c r="E46" s="286"/>
      <c r="F46" s="286"/>
      <c r="G46" s="286"/>
      <c r="H46" s="50">
        <f>IF('DADOS BÁSICOS 2º ANO'!$B$25="LUCRO PRESUMIDO",'DADOS BÁSICOS 2º ANO'!$B$29,'DADOS BÁSICOS 2º ANO'!$C$29)</f>
        <v>0.2</v>
      </c>
      <c r="I46" s="71">
        <f>I43*H46</f>
        <v>437.36</v>
      </c>
      <c r="O46" s="164"/>
    </row>
    <row r="47" spans="1:15" ht="17.25" customHeight="1">
      <c r="A47" s="85" t="s">
        <v>60</v>
      </c>
      <c r="B47" s="286" t="s">
        <v>108</v>
      </c>
      <c r="C47" s="286"/>
      <c r="D47" s="286"/>
      <c r="E47" s="286"/>
      <c r="F47" s="286"/>
      <c r="G47" s="286"/>
      <c r="H47" s="50">
        <f>IF('DADOS BÁSICOS 2º ANO'!$B$25="LUCRO PRESUMIDO",'DADOS BÁSICOS 2º ANO'!$B$30,'DADOS BÁSICOS 2º ANO'!$C$30)</f>
        <v>2.5000000000000001E-2</v>
      </c>
      <c r="I47" s="71">
        <f>I43*H47</f>
        <v>54.67</v>
      </c>
    </row>
    <row r="48" spans="1:15" ht="12.75" customHeight="1">
      <c r="A48" s="85" t="s">
        <v>62</v>
      </c>
      <c r="B48" s="286" t="s">
        <v>109</v>
      </c>
      <c r="C48" s="286"/>
      <c r="D48" s="286"/>
      <c r="E48" s="286"/>
      <c r="F48" s="286"/>
      <c r="G48" s="286"/>
      <c r="H48" s="50">
        <f>IF('DADOS BÁSICOS 2º ANO'!$B$25="LUCRO PRESUMIDO",'DADOS BÁSICOS 2º ANO'!$B$31,'DADOS BÁSICOS 2º ANO'!$C$31)</f>
        <v>0.03</v>
      </c>
      <c r="I48" s="71">
        <f>I43*H48</f>
        <v>65.599999999999994</v>
      </c>
    </row>
    <row r="49" spans="1:10" ht="12.75" customHeight="1">
      <c r="A49" s="85" t="s">
        <v>64</v>
      </c>
      <c r="B49" s="286" t="s">
        <v>35</v>
      </c>
      <c r="C49" s="286"/>
      <c r="D49" s="286"/>
      <c r="E49" s="286"/>
      <c r="F49" s="286"/>
      <c r="G49" s="286"/>
      <c r="H49" s="50">
        <f>IF('DADOS BÁSICOS 2º ANO'!$B$25="LUCRO PRESUMIDO",'DADOS BÁSICOS 2º ANO'!$B$32,'DADOS BÁSICOS 2º ANO'!$C$32)</f>
        <v>1.4999999999999999E-2</v>
      </c>
      <c r="I49" s="71">
        <f>I43*H49</f>
        <v>32.799999999999997</v>
      </c>
    </row>
    <row r="50" spans="1:10" ht="12.75" customHeight="1">
      <c r="A50" s="85" t="s">
        <v>66</v>
      </c>
      <c r="B50" s="286" t="s">
        <v>36</v>
      </c>
      <c r="C50" s="286"/>
      <c r="D50" s="286"/>
      <c r="E50" s="286"/>
      <c r="F50" s="286"/>
      <c r="G50" s="286"/>
      <c r="H50" s="50">
        <f>IF('DADOS BÁSICOS 2º ANO'!$B$25="LUCRO PRESUMIDO",'DADOS BÁSICOS 2º ANO'!$B$33,'DADOS BÁSICOS 2º ANO'!$C$33)</f>
        <v>0.01</v>
      </c>
      <c r="I50" s="71">
        <f>I43*H50</f>
        <v>21.87</v>
      </c>
    </row>
    <row r="51" spans="1:10" ht="12.75" customHeight="1">
      <c r="A51" s="85" t="s">
        <v>84</v>
      </c>
      <c r="B51" s="286" t="s">
        <v>37</v>
      </c>
      <c r="C51" s="286"/>
      <c r="D51" s="286"/>
      <c r="E51" s="286"/>
      <c r="F51" s="286"/>
      <c r="G51" s="286"/>
      <c r="H51" s="50">
        <f>IF('DADOS BÁSICOS 2º ANO'!$B$25="LUCRO PRESUMIDO",'DADOS BÁSICOS 2º ANO'!$B$34,'DADOS BÁSICOS 2º ANO'!$C$34)</f>
        <v>6.0000000000000001E-3</v>
      </c>
      <c r="I51" s="71">
        <f>I43*H51</f>
        <v>13.12</v>
      </c>
    </row>
    <row r="52" spans="1:10" ht="12.75" customHeight="1">
      <c r="A52" s="85" t="s">
        <v>110</v>
      </c>
      <c r="B52" s="286" t="s">
        <v>38</v>
      </c>
      <c r="C52" s="286"/>
      <c r="D52" s="286"/>
      <c r="E52" s="286"/>
      <c r="F52" s="286"/>
      <c r="G52" s="286"/>
      <c r="H52" s="50">
        <f>IF('DADOS BÁSICOS 2º ANO'!$B$25="LUCRO PRESUMIDO",'DADOS BÁSICOS 2º ANO'!$B$35,'DADOS BÁSICOS 2º ANO'!$C$35)</f>
        <v>2E-3</v>
      </c>
      <c r="I52" s="71">
        <f>I43*H52</f>
        <v>4.37</v>
      </c>
    </row>
    <row r="53" spans="1:10" ht="18.75" customHeight="1">
      <c r="A53" s="86" t="s">
        <v>111</v>
      </c>
      <c r="B53" s="286" t="s">
        <v>39</v>
      </c>
      <c r="C53" s="286"/>
      <c r="D53" s="286"/>
      <c r="E53" s="286"/>
      <c r="F53" s="286"/>
      <c r="G53" s="286"/>
      <c r="H53" s="50">
        <f>IF('DADOS BÁSICOS 2º ANO'!$B$25="LUCRO PRESUMIDO",'DADOS BÁSICOS 2º ANO'!$B$36,'DADOS BÁSICOS 2º ANO'!$C$36)</f>
        <v>0.08</v>
      </c>
      <c r="I53" s="71">
        <f>I43*H53</f>
        <v>174.94</v>
      </c>
    </row>
    <row r="54" spans="1:10" ht="33" customHeight="1">
      <c r="A54" s="287" t="s">
        <v>85</v>
      </c>
      <c r="B54" s="287"/>
      <c r="C54" s="287"/>
      <c r="D54" s="287"/>
      <c r="E54" s="287"/>
      <c r="F54" s="287"/>
      <c r="G54" s="287"/>
      <c r="H54" s="87">
        <f>SUM(H46:H53)</f>
        <v>0.36799999999999999</v>
      </c>
      <c r="I54" s="80">
        <f t="shared" ref="I54" si="1">SUM(I46:I53)</f>
        <v>804.73</v>
      </c>
    </row>
    <row r="55" spans="1:10" ht="17.25" customHeight="1">
      <c r="A55" s="88" t="s">
        <v>112</v>
      </c>
      <c r="B55" s="88"/>
      <c r="C55" s="88"/>
      <c r="D55" s="88"/>
      <c r="E55" s="88"/>
      <c r="F55" s="88"/>
      <c r="G55" s="88"/>
      <c r="H55" s="89"/>
      <c r="I55" s="90"/>
    </row>
    <row r="56" spans="1:10">
      <c r="A56" s="83" t="s">
        <v>113</v>
      </c>
      <c r="B56" s="316" t="s">
        <v>114</v>
      </c>
      <c r="C56" s="316"/>
      <c r="D56" s="316"/>
      <c r="E56" s="316"/>
      <c r="F56" s="316"/>
      <c r="G56" s="316"/>
      <c r="H56" s="39"/>
      <c r="I56" s="91" t="s">
        <v>79</v>
      </c>
    </row>
    <row r="57" spans="1:10" ht="24.75" customHeight="1">
      <c r="A57" s="69" t="s">
        <v>58</v>
      </c>
      <c r="B57" s="294" t="s">
        <v>115</v>
      </c>
      <c r="C57" s="294"/>
      <c r="D57" s="294"/>
      <c r="E57" s="294"/>
      <c r="F57" s="294"/>
      <c r="G57" s="294"/>
      <c r="H57" s="92"/>
      <c r="I57" s="317">
        <f>IF((H58*H59)-(I23*H60)&gt;0,((H58*H59)-(I23*H60)),0)</f>
        <v>115.27</v>
      </c>
    </row>
    <row r="58" spans="1:10" ht="12.75" customHeight="1">
      <c r="A58" s="69"/>
      <c r="B58" s="286" t="s">
        <v>116</v>
      </c>
      <c r="C58" s="286"/>
      <c r="D58" s="286"/>
      <c r="E58" s="286"/>
      <c r="F58" s="286"/>
      <c r="G58" s="286"/>
      <c r="H58" s="93">
        <f>'DADOS BÁSICOS 2º ANO'!P8</f>
        <v>4.5</v>
      </c>
      <c r="I58" s="318"/>
    </row>
    <row r="59" spans="1:10" ht="12.75" customHeight="1">
      <c r="A59" s="94"/>
      <c r="B59" s="286" t="s">
        <v>117</v>
      </c>
      <c r="C59" s="286"/>
      <c r="D59" s="286"/>
      <c r="E59" s="286"/>
      <c r="F59" s="286"/>
      <c r="G59" s="286"/>
      <c r="H59" s="95">
        <f>'DADOS BÁSICOS 2º ANO'!$O8</f>
        <v>44</v>
      </c>
      <c r="I59" s="318"/>
    </row>
    <row r="60" spans="1:10" ht="15" customHeight="1">
      <c r="A60" s="69"/>
      <c r="B60" s="286" t="s">
        <v>118</v>
      </c>
      <c r="C60" s="286"/>
      <c r="D60" s="286"/>
      <c r="E60" s="286"/>
      <c r="F60" s="286"/>
      <c r="G60" s="286"/>
      <c r="H60" s="96">
        <v>0.06</v>
      </c>
      <c r="I60" s="319"/>
    </row>
    <row r="61" spans="1:10" ht="15" customHeight="1">
      <c r="A61" s="69" t="s">
        <v>60</v>
      </c>
      <c r="B61" s="286" t="s">
        <v>119</v>
      </c>
      <c r="C61" s="286"/>
      <c r="D61" s="286"/>
      <c r="E61" s="286"/>
      <c r="F61" s="286"/>
      <c r="G61" s="286"/>
      <c r="H61" s="97"/>
      <c r="I61" s="313">
        <f>H62-(H62*H64)</f>
        <v>360</v>
      </c>
      <c r="J61" s="99"/>
    </row>
    <row r="62" spans="1:10" ht="15" customHeight="1">
      <c r="A62" s="69"/>
      <c r="B62" s="286" t="s">
        <v>256</v>
      </c>
      <c r="C62" s="286"/>
      <c r="D62" s="286"/>
      <c r="E62" s="286"/>
      <c r="F62" s="286"/>
      <c r="G62" s="286"/>
      <c r="H62" s="98">
        <f>'DADOS BÁSICOS 2º ANO'!I8</f>
        <v>450</v>
      </c>
      <c r="I62" s="314"/>
      <c r="J62" s="99"/>
    </row>
    <row r="63" spans="1:10" ht="15" customHeight="1">
      <c r="A63" s="69"/>
      <c r="B63" s="286" t="s">
        <v>258</v>
      </c>
      <c r="C63" s="286"/>
      <c r="D63" s="286"/>
      <c r="E63" s="286"/>
      <c r="F63" s="286"/>
      <c r="G63" s="286"/>
      <c r="H63" s="100"/>
      <c r="I63" s="314"/>
    </row>
    <row r="64" spans="1:10" ht="17.25" customHeight="1">
      <c r="A64" s="69"/>
      <c r="B64" s="286" t="s">
        <v>257</v>
      </c>
      <c r="C64" s="286"/>
      <c r="D64" s="286"/>
      <c r="E64" s="286"/>
      <c r="F64" s="286"/>
      <c r="G64" s="286"/>
      <c r="H64" s="101">
        <f>'DADOS BÁSICOS 2º ANO'!$N8</f>
        <v>0.2</v>
      </c>
      <c r="I64" s="315"/>
    </row>
    <row r="65" spans="1:9" ht="16" customHeight="1">
      <c r="A65" s="69" t="s">
        <v>62</v>
      </c>
      <c r="B65" s="286" t="str">
        <f>'DADOS BÁSICOS 2º ANO'!$J$7</f>
        <v>Auxílio Saúde</v>
      </c>
      <c r="C65" s="286"/>
      <c r="D65" s="286"/>
      <c r="E65" s="286"/>
      <c r="F65" s="286"/>
      <c r="G65" s="286"/>
      <c r="H65" s="102"/>
      <c r="I65" s="57">
        <f>'DADOS BÁSICOS 2º ANO'!$J$8</f>
        <v>64</v>
      </c>
    </row>
    <row r="66" spans="1:9" ht="15" customHeight="1">
      <c r="A66" s="69" t="s">
        <v>64</v>
      </c>
      <c r="B66" s="286" t="str">
        <f>'DADOS BÁSICOS 2º ANO'!$K$7</f>
        <v>Benefício Familiar</v>
      </c>
      <c r="C66" s="286"/>
      <c r="D66" s="286"/>
      <c r="E66" s="286"/>
      <c r="F66" s="286"/>
      <c r="G66" s="286"/>
      <c r="H66" s="103"/>
      <c r="I66" s="104">
        <f>'DADOS BÁSICOS 2º ANO'!$K$8</f>
        <v>21</v>
      </c>
    </row>
    <row r="67" spans="1:9" ht="18" customHeight="1">
      <c r="A67" s="69" t="s">
        <v>66</v>
      </c>
      <c r="B67" s="286" t="str">
        <f>'DADOS BÁSICOS 2º ANO'!$L$7</f>
        <v>Fundo de Fomação Profissional</v>
      </c>
      <c r="C67" s="286"/>
      <c r="D67" s="286"/>
      <c r="E67" s="286"/>
      <c r="F67" s="286"/>
      <c r="G67" s="286"/>
      <c r="H67" s="102"/>
      <c r="I67" s="104">
        <f>'DADOS BÁSICOS 2º ANO'!$L$8</f>
        <v>21</v>
      </c>
    </row>
    <row r="68" spans="1:9" ht="18" customHeight="1">
      <c r="A68" s="72" t="s">
        <v>84</v>
      </c>
      <c r="B68" s="312" t="s">
        <v>200</v>
      </c>
      <c r="C68" s="312"/>
      <c r="D68" s="312"/>
      <c r="E68" s="312"/>
      <c r="F68" s="312"/>
      <c r="G68" s="312"/>
      <c r="H68" s="105">
        <f>1/12</f>
        <v>8.3299999999999999E-2</v>
      </c>
      <c r="I68" s="107">
        <f>I61*H68</f>
        <v>29.99</v>
      </c>
    </row>
    <row r="69" spans="1:9" ht="18" customHeight="1">
      <c r="A69" s="72" t="s">
        <v>268</v>
      </c>
      <c r="B69" s="312" t="s">
        <v>269</v>
      </c>
      <c r="C69" s="312"/>
      <c r="D69" s="312"/>
      <c r="E69" s="312"/>
      <c r="F69" s="312"/>
      <c r="G69" s="312"/>
      <c r="H69" s="105">
        <v>0</v>
      </c>
      <c r="I69" s="107">
        <f>I61*H69</f>
        <v>0</v>
      </c>
    </row>
    <row r="70" spans="1:9" ht="18" customHeight="1">
      <c r="A70" s="108" t="s">
        <v>110</v>
      </c>
      <c r="B70" s="297" t="s">
        <v>201</v>
      </c>
      <c r="C70" s="297"/>
      <c r="D70" s="297"/>
      <c r="E70" s="297"/>
      <c r="F70" s="297"/>
      <c r="G70" s="297"/>
      <c r="H70" s="109">
        <f>((H11/12)/12)/H11</f>
        <v>6.8999999999999999E-3</v>
      </c>
      <c r="I70" s="225">
        <f>I61*H70</f>
        <v>2.48</v>
      </c>
    </row>
    <row r="71" spans="1:9" ht="18" customHeight="1">
      <c r="A71" s="76" t="s">
        <v>111</v>
      </c>
      <c r="B71" s="310" t="s">
        <v>202</v>
      </c>
      <c r="C71" s="310"/>
      <c r="D71" s="310"/>
      <c r="E71" s="310"/>
      <c r="F71" s="310"/>
      <c r="G71" s="310"/>
      <c r="H71" s="111">
        <f>(H11/12)/H11</f>
        <v>8.3299999999999999E-2</v>
      </c>
      <c r="I71" s="226">
        <f>I65*H71</f>
        <v>5.33</v>
      </c>
    </row>
    <row r="72" spans="1:9" ht="19.5" customHeight="1">
      <c r="A72" s="76" t="s">
        <v>198</v>
      </c>
      <c r="B72" s="310" t="s">
        <v>203</v>
      </c>
      <c r="C72" s="310"/>
      <c r="D72" s="310"/>
      <c r="E72" s="310"/>
      <c r="F72" s="310"/>
      <c r="G72" s="310"/>
      <c r="H72" s="111">
        <f t="shared" ref="H72:H73" si="2">1/12</f>
        <v>8.3299999999999999E-2</v>
      </c>
      <c r="I72" s="226">
        <f>I66*H72</f>
        <v>1.75</v>
      </c>
    </row>
    <row r="73" spans="1:9" ht="30.75" customHeight="1">
      <c r="A73" s="76" t="s">
        <v>199</v>
      </c>
      <c r="B73" s="310" t="s">
        <v>204</v>
      </c>
      <c r="C73" s="310"/>
      <c r="D73" s="310"/>
      <c r="E73" s="310"/>
      <c r="F73" s="310"/>
      <c r="G73" s="310"/>
      <c r="H73" s="111">
        <f t="shared" si="2"/>
        <v>8.3299999999999999E-2</v>
      </c>
      <c r="I73" s="226">
        <f>I67*H73</f>
        <v>1.75</v>
      </c>
    </row>
    <row r="74" spans="1:9" ht="20.25" customHeight="1">
      <c r="A74" s="287" t="s">
        <v>85</v>
      </c>
      <c r="B74" s="287"/>
      <c r="C74" s="287"/>
      <c r="D74" s="287"/>
      <c r="E74" s="287"/>
      <c r="F74" s="287"/>
      <c r="G74" s="287"/>
      <c r="H74" s="113"/>
      <c r="I74" s="80">
        <f>SUM(I57:I73)</f>
        <v>622.57000000000005</v>
      </c>
    </row>
    <row r="75" spans="1:9" ht="12.75" customHeight="1">
      <c r="A75" s="37" t="s">
        <v>120</v>
      </c>
      <c r="B75" s="63"/>
      <c r="C75" s="63"/>
      <c r="D75" s="63"/>
      <c r="E75" s="63"/>
      <c r="F75" s="63"/>
      <c r="G75" s="63"/>
      <c r="H75" s="64"/>
      <c r="I75" s="65"/>
    </row>
    <row r="76" spans="1:9" ht="12.75" customHeight="1">
      <c r="A76" s="114">
        <v>2</v>
      </c>
      <c r="B76" s="311" t="s">
        <v>121</v>
      </c>
      <c r="C76" s="311"/>
      <c r="D76" s="311"/>
      <c r="E76" s="311"/>
      <c r="F76" s="311"/>
      <c r="G76" s="311"/>
      <c r="H76" s="115"/>
      <c r="I76" s="116" t="s">
        <v>79</v>
      </c>
    </row>
    <row r="77" spans="1:9" ht="12.75" customHeight="1">
      <c r="A77" s="69" t="s">
        <v>87</v>
      </c>
      <c r="B77" s="286" t="s">
        <v>88</v>
      </c>
      <c r="C77" s="286"/>
      <c r="D77" s="286"/>
      <c r="E77" s="286"/>
      <c r="F77" s="286"/>
      <c r="G77" s="286"/>
      <c r="H77" s="48"/>
      <c r="I77" s="71">
        <f>I40</f>
        <v>380.28</v>
      </c>
    </row>
    <row r="78" spans="1:9">
      <c r="A78" s="69" t="s">
        <v>106</v>
      </c>
      <c r="B78" s="286" t="s">
        <v>107</v>
      </c>
      <c r="C78" s="286"/>
      <c r="D78" s="286"/>
      <c r="E78" s="286"/>
      <c r="F78" s="286"/>
      <c r="G78" s="286"/>
      <c r="H78" s="48"/>
      <c r="I78" s="71">
        <f>I54</f>
        <v>804.73</v>
      </c>
    </row>
    <row r="79" spans="1:9" ht="26.25" customHeight="1">
      <c r="A79" s="69" t="s">
        <v>113</v>
      </c>
      <c r="B79" s="286" t="s">
        <v>114</v>
      </c>
      <c r="C79" s="286"/>
      <c r="D79" s="286"/>
      <c r="E79" s="286"/>
      <c r="F79" s="286"/>
      <c r="G79" s="286"/>
      <c r="H79" s="48"/>
      <c r="I79" s="71">
        <f>I74</f>
        <v>622.57000000000005</v>
      </c>
    </row>
    <row r="80" spans="1:9" ht="26.25" customHeight="1">
      <c r="A80" s="304" t="s">
        <v>85</v>
      </c>
      <c r="B80" s="304"/>
      <c r="C80" s="304"/>
      <c r="D80" s="304"/>
      <c r="E80" s="304"/>
      <c r="F80" s="304"/>
      <c r="G80" s="304"/>
      <c r="H80" s="117"/>
      <c r="I80" s="82">
        <f>SUM(I77:I79)</f>
        <v>1807.58</v>
      </c>
    </row>
    <row r="81" spans="1:9" ht="16.5" customHeight="1">
      <c r="A81" s="37" t="s">
        <v>122</v>
      </c>
      <c r="B81" s="118"/>
      <c r="C81" s="118"/>
      <c r="D81" s="118"/>
      <c r="E81" s="118"/>
      <c r="F81" s="118"/>
      <c r="G81" s="118"/>
      <c r="H81" s="64"/>
      <c r="I81" s="65"/>
    </row>
    <row r="82" spans="1:9">
      <c r="A82" s="119">
        <v>3</v>
      </c>
      <c r="B82" s="305" t="s">
        <v>123</v>
      </c>
      <c r="C82" s="305"/>
      <c r="D82" s="305"/>
      <c r="E82" s="305"/>
      <c r="F82" s="305"/>
      <c r="G82" s="305"/>
      <c r="H82" s="120" t="s">
        <v>89</v>
      </c>
      <c r="I82" s="47" t="s">
        <v>79</v>
      </c>
    </row>
    <row r="83" spans="1:9" ht="12.75" customHeight="1">
      <c r="A83" s="121" t="s">
        <v>58</v>
      </c>
      <c r="B83" s="306" t="s">
        <v>124</v>
      </c>
      <c r="C83" s="307"/>
      <c r="D83" s="307"/>
      <c r="E83" s="307"/>
      <c r="F83" s="307"/>
      <c r="G83" s="308"/>
      <c r="H83" s="122">
        <f>((100%/12)*'DADOS BÁSICOS 2º ANO'!$Q8)/10</f>
        <v>2.8E-3</v>
      </c>
      <c r="I83" s="123">
        <f>H83*I$43</f>
        <v>6.12</v>
      </c>
    </row>
    <row r="84" spans="1:9" ht="17.25" customHeight="1">
      <c r="A84" s="69" t="s">
        <v>60</v>
      </c>
      <c r="B84" s="294" t="s">
        <v>125</v>
      </c>
      <c r="C84" s="294"/>
      <c r="D84" s="294"/>
      <c r="E84" s="294"/>
      <c r="F84" s="294"/>
      <c r="G84" s="294"/>
      <c r="H84" s="124">
        <v>0.08</v>
      </c>
      <c r="I84" s="125">
        <f>I83*H84</f>
        <v>0.49</v>
      </c>
    </row>
    <row r="85" spans="1:9">
      <c r="A85" s="126" t="s">
        <v>62</v>
      </c>
      <c r="B85" s="302" t="s">
        <v>126</v>
      </c>
      <c r="C85" s="303"/>
      <c r="D85" s="303"/>
      <c r="E85" s="303"/>
      <c r="F85" s="303"/>
      <c r="G85" s="284"/>
      <c r="H85" s="127">
        <f>8%*40%*'DADOS BÁSICOS 2º ANO'!$Q8</f>
        <v>1.0800000000000001E-2</v>
      </c>
      <c r="I85" s="125">
        <f>I$43*H85</f>
        <v>23.62</v>
      </c>
    </row>
    <row r="86" spans="1:9" ht="12.75" customHeight="1">
      <c r="A86" s="128" t="s">
        <v>64</v>
      </c>
      <c r="B86" s="309" t="s">
        <v>127</v>
      </c>
      <c r="C86" s="309"/>
      <c r="D86" s="309"/>
      <c r="E86" s="309"/>
      <c r="F86" s="309"/>
      <c r="G86" s="309"/>
      <c r="H86" s="247">
        <f>((7/30)/12)/10</f>
        <v>1.944E-3</v>
      </c>
      <c r="I86" s="248">
        <f>H86*I$43</f>
        <v>4.25</v>
      </c>
    </row>
    <row r="87" spans="1:9">
      <c r="A87" s="69" t="s">
        <v>66</v>
      </c>
      <c r="B87" s="294" t="s">
        <v>128</v>
      </c>
      <c r="C87" s="294"/>
      <c r="D87" s="294"/>
      <c r="E87" s="294"/>
      <c r="F87" s="294"/>
      <c r="G87" s="294"/>
      <c r="H87" s="124">
        <f>H54</f>
        <v>0.36799999999999999</v>
      </c>
      <c r="I87" s="131">
        <f>H87*I86</f>
        <v>1.56</v>
      </c>
    </row>
    <row r="88" spans="1:9">
      <c r="A88" s="126" t="s">
        <v>84</v>
      </c>
      <c r="B88" s="302" t="s">
        <v>129</v>
      </c>
      <c r="C88" s="303"/>
      <c r="D88" s="303"/>
      <c r="E88" s="303"/>
      <c r="F88" s="303"/>
      <c r="G88" s="284"/>
      <c r="H88" s="127">
        <f>8%*40%*'DADOS BÁSICOS 2º ANO'!$R8</f>
        <v>1.0800000000000001E-2</v>
      </c>
      <c r="I88" s="125">
        <f>I43*H88</f>
        <v>23.62</v>
      </c>
    </row>
    <row r="89" spans="1:9">
      <c r="A89" s="287" t="s">
        <v>85</v>
      </c>
      <c r="B89" s="287"/>
      <c r="C89" s="287"/>
      <c r="D89" s="287"/>
      <c r="E89" s="287"/>
      <c r="F89" s="287"/>
      <c r="G89" s="287"/>
      <c r="H89" s="113"/>
      <c r="I89" s="80">
        <f>SUM(I83:I88)</f>
        <v>59.66</v>
      </c>
    </row>
    <row r="90" spans="1:9">
      <c r="A90" s="304" t="s">
        <v>130</v>
      </c>
      <c r="B90" s="304"/>
      <c r="C90" s="304"/>
      <c r="D90" s="304"/>
      <c r="E90" s="304"/>
      <c r="F90" s="304"/>
      <c r="G90" s="304"/>
      <c r="H90" s="132" t="s">
        <v>93</v>
      </c>
      <c r="I90" s="133">
        <f>I29</f>
        <v>1806.53</v>
      </c>
    </row>
    <row r="91" spans="1:9">
      <c r="A91" s="304"/>
      <c r="B91" s="304"/>
      <c r="C91" s="304"/>
      <c r="D91" s="304"/>
      <c r="E91" s="304"/>
      <c r="F91" s="304"/>
      <c r="G91" s="304"/>
      <c r="H91" s="132" t="s">
        <v>94</v>
      </c>
      <c r="I91" s="133">
        <f>I80</f>
        <v>1807.58</v>
      </c>
    </row>
    <row r="92" spans="1:9" ht="26.25" customHeight="1">
      <c r="A92" s="304"/>
      <c r="B92" s="304"/>
      <c r="C92" s="304"/>
      <c r="D92" s="304"/>
      <c r="E92" s="304"/>
      <c r="F92" s="304"/>
      <c r="G92" s="304"/>
      <c r="H92" s="132" t="s">
        <v>95</v>
      </c>
      <c r="I92" s="133">
        <f>I89</f>
        <v>59.66</v>
      </c>
    </row>
    <row r="93" spans="1:9" s="137" customFormat="1" ht="63.75" customHeight="1">
      <c r="A93" s="304"/>
      <c r="B93" s="304"/>
      <c r="C93" s="304"/>
      <c r="D93" s="304"/>
      <c r="E93" s="304"/>
      <c r="F93" s="304"/>
      <c r="G93" s="304"/>
      <c r="H93" s="132" t="s">
        <v>85</v>
      </c>
      <c r="I93" s="133">
        <f>SUM(I90:I92)</f>
        <v>3673.77</v>
      </c>
    </row>
    <row r="94" spans="1:9" ht="16.5" customHeight="1">
      <c r="A94" s="37" t="s">
        <v>131</v>
      </c>
      <c r="B94" s="134"/>
      <c r="C94" s="134"/>
      <c r="D94" s="134"/>
      <c r="E94" s="134"/>
      <c r="F94" s="134"/>
      <c r="G94" s="134"/>
      <c r="H94" s="135"/>
      <c r="I94" s="136"/>
    </row>
    <row r="95" spans="1:9" ht="16.5" customHeight="1">
      <c r="A95" s="138" t="s">
        <v>132</v>
      </c>
      <c r="B95" s="63" t="s">
        <v>133</v>
      </c>
      <c r="C95" s="63"/>
      <c r="D95" s="63"/>
      <c r="E95" s="63"/>
      <c r="F95" s="63"/>
      <c r="G95" s="63"/>
      <c r="H95" s="67" t="s">
        <v>134</v>
      </c>
      <c r="I95" s="68" t="s">
        <v>79</v>
      </c>
    </row>
    <row r="96" spans="1:9" ht="16.5" customHeight="1">
      <c r="A96" s="69" t="s">
        <v>58</v>
      </c>
      <c r="B96" s="301" t="s">
        <v>135</v>
      </c>
      <c r="C96" s="301"/>
      <c r="D96" s="301"/>
      <c r="E96" s="301"/>
      <c r="F96" s="301"/>
      <c r="G96" s="301"/>
      <c r="H96" s="139">
        <f>'DADOS BÁSICOS 2º ANO'!$H$59</f>
        <v>4.8734000000000002</v>
      </c>
      <c r="I96" s="71">
        <f>SUM(I97:I104)</f>
        <v>49.72</v>
      </c>
    </row>
    <row r="97" spans="1:9" ht="16.5" customHeight="1">
      <c r="A97" s="140" t="s">
        <v>219</v>
      </c>
      <c r="B97" s="300" t="s">
        <v>211</v>
      </c>
      <c r="C97" s="300"/>
      <c r="D97" s="300"/>
      <c r="E97" s="300"/>
      <c r="F97" s="300"/>
      <c r="G97" s="300"/>
      <c r="H97" s="139">
        <f>'DADOS BÁSICOS 2º ANO'!$H$60</f>
        <v>1</v>
      </c>
      <c r="I97" s="141">
        <f>((I$93/30)*H97)/H$10</f>
        <v>10.199999999999999</v>
      </c>
    </row>
    <row r="98" spans="1:9" ht="16.5" customHeight="1">
      <c r="A98" s="140" t="s">
        <v>221</v>
      </c>
      <c r="B98" s="300" t="s">
        <v>212</v>
      </c>
      <c r="C98" s="300"/>
      <c r="D98" s="300"/>
      <c r="E98" s="300"/>
      <c r="F98" s="300"/>
      <c r="G98" s="300"/>
      <c r="H98" s="139">
        <f>'DADOS BÁSICOS 2º ANO'!$H$61</f>
        <v>3.4929999999999999</v>
      </c>
      <c r="I98" s="141">
        <f>((I$93/30)*H98)/H$10</f>
        <v>35.65</v>
      </c>
    </row>
    <row r="99" spans="1:9" ht="16.5" customHeight="1">
      <c r="A99" s="140" t="s">
        <v>222</v>
      </c>
      <c r="B99" s="300" t="s">
        <v>213</v>
      </c>
      <c r="C99" s="300"/>
      <c r="D99" s="300"/>
      <c r="E99" s="300"/>
      <c r="F99" s="300"/>
      <c r="G99" s="300"/>
      <c r="H99" s="139">
        <f>'DADOS BÁSICOS 2º ANO'!$H$62</f>
        <v>0.26879999999999998</v>
      </c>
      <c r="I99" s="141">
        <f t="shared" ref="I99:I108" si="3">(I$93/30)*(H99/H$10)</f>
        <v>2.74</v>
      </c>
    </row>
    <row r="100" spans="1:9" ht="16.5" customHeight="1">
      <c r="A100" s="140" t="s">
        <v>228</v>
      </c>
      <c r="B100" s="300" t="s">
        <v>214</v>
      </c>
      <c r="C100" s="300"/>
      <c r="D100" s="300"/>
      <c r="E100" s="300"/>
      <c r="F100" s="300"/>
      <c r="G100" s="300"/>
      <c r="H100" s="139">
        <f>'DADOS BÁSICOS 2º ANO'!$H$63</f>
        <v>4.2599999999999999E-2</v>
      </c>
      <c r="I100" s="141">
        <f t="shared" si="3"/>
        <v>0.43</v>
      </c>
    </row>
    <row r="101" spans="1:9" ht="16.5" customHeight="1">
      <c r="A101" s="140" t="s">
        <v>229</v>
      </c>
      <c r="B101" s="300" t="s">
        <v>215</v>
      </c>
      <c r="C101" s="300"/>
      <c r="D101" s="300"/>
      <c r="E101" s="300"/>
      <c r="F101" s="300"/>
      <c r="G101" s="300"/>
      <c r="H101" s="139">
        <f>'DADOS BÁSICOS 2º ANO'!$H$64</f>
        <v>3.5400000000000001E-2</v>
      </c>
      <c r="I101" s="141">
        <f t="shared" si="3"/>
        <v>0.36</v>
      </c>
    </row>
    <row r="102" spans="1:9" ht="16.5" customHeight="1">
      <c r="A102" s="140" t="s">
        <v>230</v>
      </c>
      <c r="B102" s="300" t="s">
        <v>216</v>
      </c>
      <c r="C102" s="300"/>
      <c r="D102" s="300"/>
      <c r="E102" s="300"/>
      <c r="F102" s="300"/>
      <c r="G102" s="300"/>
      <c r="H102" s="139">
        <f>'DADOS BÁSICOS 2º ANO'!$H$65</f>
        <v>0.02</v>
      </c>
      <c r="I102" s="141">
        <f t="shared" si="3"/>
        <v>0.2</v>
      </c>
    </row>
    <row r="103" spans="1:9" ht="16.5" customHeight="1">
      <c r="A103" s="140" t="s">
        <v>231</v>
      </c>
      <c r="B103" s="300" t="s">
        <v>217</v>
      </c>
      <c r="C103" s="300"/>
      <c r="D103" s="300"/>
      <c r="E103" s="300"/>
      <c r="F103" s="300"/>
      <c r="G103" s="300"/>
      <c r="H103" s="139">
        <f>'DADOS BÁSICOS 2º ANO'!$H$66</f>
        <v>4.0000000000000001E-3</v>
      </c>
      <c r="I103" s="141">
        <f t="shared" si="3"/>
        <v>0.04</v>
      </c>
    </row>
    <row r="104" spans="1:9" ht="16.5" customHeight="1">
      <c r="A104" s="140" t="s">
        <v>232</v>
      </c>
      <c r="B104" s="300" t="s">
        <v>218</v>
      </c>
      <c r="C104" s="300"/>
      <c r="D104" s="300"/>
      <c r="E104" s="300"/>
      <c r="F104" s="300"/>
      <c r="G104" s="300"/>
      <c r="H104" s="139">
        <f>'DADOS BÁSICOS 2º ANO'!$H$67</f>
        <v>9.5999999999999992E-3</v>
      </c>
      <c r="I104" s="141">
        <f t="shared" si="3"/>
        <v>0.1</v>
      </c>
    </row>
    <row r="105" spans="1:9" ht="16.5" customHeight="1">
      <c r="A105" s="69" t="s">
        <v>60</v>
      </c>
      <c r="B105" s="301" t="s">
        <v>136</v>
      </c>
      <c r="C105" s="301"/>
      <c r="D105" s="301"/>
      <c r="E105" s="301"/>
      <c r="F105" s="301"/>
      <c r="G105" s="301"/>
      <c r="H105" s="139">
        <f>'DADOS BÁSICOS 2º ANO'!$H$68</f>
        <v>0.19980000000000001</v>
      </c>
      <c r="I105" s="71">
        <f t="shared" si="3"/>
        <v>2.04</v>
      </c>
    </row>
    <row r="106" spans="1:9" ht="16.5" customHeight="1">
      <c r="A106" s="69" t="s">
        <v>62</v>
      </c>
      <c r="B106" s="301" t="s">
        <v>137</v>
      </c>
      <c r="C106" s="301"/>
      <c r="D106" s="301"/>
      <c r="E106" s="301"/>
      <c r="F106" s="301"/>
      <c r="G106" s="301"/>
      <c r="H106" s="139">
        <f>'DADOS BÁSICOS 2º ANO'!$H$69</f>
        <v>0.96619999999999995</v>
      </c>
      <c r="I106" s="71">
        <f t="shared" si="3"/>
        <v>9.86</v>
      </c>
    </row>
    <row r="107" spans="1:9">
      <c r="A107" s="69" t="s">
        <v>64</v>
      </c>
      <c r="B107" s="301" t="s">
        <v>138</v>
      </c>
      <c r="C107" s="301"/>
      <c r="D107" s="301"/>
      <c r="E107" s="301"/>
      <c r="F107" s="301"/>
      <c r="G107" s="301"/>
      <c r="H107" s="139">
        <f>'DADOS BÁSICOS 2º ANO'!$H$70</f>
        <v>2.4771999999999998</v>
      </c>
      <c r="I107" s="71">
        <f t="shared" si="3"/>
        <v>25.28</v>
      </c>
    </row>
    <row r="108" spans="1:9">
      <c r="A108" s="41" t="s">
        <v>66</v>
      </c>
      <c r="B108" s="301" t="s">
        <v>139</v>
      </c>
      <c r="C108" s="301"/>
      <c r="D108" s="301"/>
      <c r="E108" s="301"/>
      <c r="F108" s="301"/>
      <c r="G108" s="301"/>
      <c r="H108" s="139">
        <f>'DADOS BÁSICOS 2º ANO'!$H$71</f>
        <v>0</v>
      </c>
      <c r="I108" s="71">
        <f t="shared" si="3"/>
        <v>0</v>
      </c>
    </row>
    <row r="109" spans="1:9" ht="16.5" customHeight="1">
      <c r="A109" s="287" t="s">
        <v>85</v>
      </c>
      <c r="B109" s="287"/>
      <c r="C109" s="287"/>
      <c r="D109" s="287"/>
      <c r="E109" s="287"/>
      <c r="F109" s="287"/>
      <c r="G109" s="287"/>
      <c r="H109" s="142">
        <f>H96+H105+H106+H107+H108</f>
        <v>8.5166000000000004</v>
      </c>
      <c r="I109" s="80">
        <f>I96+I105+I106+I107+I108</f>
        <v>86.9</v>
      </c>
    </row>
    <row r="110" spans="1:9">
      <c r="A110" s="143" t="s">
        <v>140</v>
      </c>
      <c r="B110" s="290" t="s">
        <v>141</v>
      </c>
      <c r="C110" s="290"/>
      <c r="D110" s="290"/>
      <c r="E110" s="290"/>
      <c r="F110" s="290"/>
      <c r="G110" s="290"/>
      <c r="H110" s="144"/>
      <c r="I110" s="145" t="s">
        <v>79</v>
      </c>
    </row>
    <row r="111" spans="1:9" ht="21.75" customHeight="1">
      <c r="A111" s="69" t="s">
        <v>58</v>
      </c>
      <c r="B111" s="286" t="s">
        <v>142</v>
      </c>
      <c r="C111" s="286"/>
      <c r="D111" s="286"/>
      <c r="E111" s="286"/>
      <c r="F111" s="286"/>
      <c r="G111" s="286"/>
      <c r="H111" s="48"/>
      <c r="I111" s="146">
        <v>0</v>
      </c>
    </row>
    <row r="112" spans="1:9" ht="12.75" customHeight="1">
      <c r="A112" s="287" t="s">
        <v>85</v>
      </c>
      <c r="B112" s="287"/>
      <c r="C112" s="287"/>
      <c r="D112" s="287"/>
      <c r="E112" s="287"/>
      <c r="F112" s="287"/>
      <c r="G112" s="287"/>
      <c r="H112" s="113"/>
      <c r="I112" s="147">
        <f>SUM(I111:I111)</f>
        <v>0</v>
      </c>
    </row>
    <row r="113" spans="1:10" ht="12.75" customHeight="1">
      <c r="A113" s="37" t="s">
        <v>143</v>
      </c>
      <c r="B113" s="63"/>
      <c r="C113" s="63"/>
      <c r="D113" s="63"/>
      <c r="E113" s="63"/>
      <c r="F113" s="63"/>
      <c r="G113" s="63"/>
      <c r="H113" s="64"/>
      <c r="I113" s="65"/>
    </row>
    <row r="114" spans="1:10" ht="12.75" customHeight="1">
      <c r="A114" s="66">
        <v>4</v>
      </c>
      <c r="B114" s="288" t="s">
        <v>144</v>
      </c>
      <c r="C114" s="288"/>
      <c r="D114" s="288"/>
      <c r="E114" s="288"/>
      <c r="F114" s="288"/>
      <c r="G114" s="288"/>
      <c r="H114" s="148"/>
      <c r="I114" s="68" t="s">
        <v>79</v>
      </c>
    </row>
    <row r="115" spans="1:10">
      <c r="A115" s="85" t="s">
        <v>132</v>
      </c>
      <c r="B115" s="284" t="s">
        <v>133</v>
      </c>
      <c r="C115" s="284"/>
      <c r="D115" s="284"/>
      <c r="E115" s="284"/>
      <c r="F115" s="284"/>
      <c r="G115" s="284"/>
      <c r="H115" s="149"/>
      <c r="I115" s="71">
        <f>I109</f>
        <v>86.9</v>
      </c>
    </row>
    <row r="116" spans="1:10" ht="18.75" customHeight="1">
      <c r="A116" s="85" t="s">
        <v>140</v>
      </c>
      <c r="B116" s="299" t="s">
        <v>145</v>
      </c>
      <c r="C116" s="299"/>
      <c r="D116" s="299"/>
      <c r="E116" s="299"/>
      <c r="F116" s="299"/>
      <c r="G116" s="299"/>
      <c r="H116" s="150"/>
      <c r="I116" s="71">
        <f>I112</f>
        <v>0</v>
      </c>
    </row>
    <row r="117" spans="1:10" ht="12.75" customHeight="1">
      <c r="A117" s="298" t="s">
        <v>85</v>
      </c>
      <c r="B117" s="298"/>
      <c r="C117" s="298"/>
      <c r="D117" s="298"/>
      <c r="E117" s="298"/>
      <c r="F117" s="298"/>
      <c r="G117" s="298"/>
      <c r="H117" s="151"/>
      <c r="I117" s="80">
        <f>SUM(I115:I116)</f>
        <v>86.9</v>
      </c>
    </row>
    <row r="118" spans="1:10" ht="15" customHeight="1">
      <c r="A118" s="37" t="s">
        <v>146</v>
      </c>
      <c r="B118" s="38"/>
      <c r="C118" s="38"/>
      <c r="D118" s="38"/>
      <c r="E118" s="38"/>
      <c r="F118" s="38"/>
      <c r="G118" s="38"/>
      <c r="H118" s="39"/>
      <c r="I118" s="40"/>
      <c r="J118" s="153"/>
    </row>
    <row r="119" spans="1:10" ht="15" customHeight="1">
      <c r="A119" s="66">
        <v>5</v>
      </c>
      <c r="B119" s="288" t="s">
        <v>147</v>
      </c>
      <c r="C119" s="288"/>
      <c r="D119" s="288"/>
      <c r="E119" s="288"/>
      <c r="F119" s="288"/>
      <c r="G119" s="288"/>
      <c r="H119" s="148"/>
      <c r="I119" s="68" t="s">
        <v>79</v>
      </c>
      <c r="J119" s="153"/>
    </row>
    <row r="120" spans="1:10" ht="15" customHeight="1">
      <c r="A120" s="154" t="s">
        <v>58</v>
      </c>
      <c r="B120" s="295" t="s">
        <v>40</v>
      </c>
      <c r="C120" s="295"/>
      <c r="D120" s="295"/>
      <c r="E120" s="295"/>
      <c r="F120" s="295"/>
      <c r="G120" s="295"/>
      <c r="H120" s="149"/>
      <c r="I120" s="71">
        <f>SUM(I121:I123)</f>
        <v>40.26</v>
      </c>
      <c r="J120" s="153"/>
    </row>
    <row r="121" spans="1:10" ht="15" customHeight="1">
      <c r="A121" s="155" t="s">
        <v>219</v>
      </c>
      <c r="B121" s="286" t="s">
        <v>220</v>
      </c>
      <c r="C121" s="286"/>
      <c r="D121" s="286"/>
      <c r="E121" s="286"/>
      <c r="F121" s="286"/>
      <c r="G121" s="286"/>
      <c r="H121" s="149"/>
      <c r="I121" s="71">
        <f>'DADOS BÁSICOS 2º ANO'!$D$46</f>
        <v>35.61</v>
      </c>
      <c r="J121" s="153"/>
    </row>
    <row r="122" spans="1:10" ht="12.75" customHeight="1">
      <c r="A122" s="158" t="s">
        <v>221</v>
      </c>
      <c r="B122" s="296" t="s">
        <v>223</v>
      </c>
      <c r="C122" s="296"/>
      <c r="D122" s="296"/>
      <c r="E122" s="296"/>
      <c r="F122" s="296"/>
      <c r="G122" s="296"/>
      <c r="H122" s="159">
        <f>(ROUNDUP(((H109*H11)/(365*0.6986)),0))/H11</f>
        <v>4.3499999999999997E-2</v>
      </c>
      <c r="I122" s="249">
        <f>ROUNDUP(('DADOS BÁSICOS 2º ANO'!$D$46*H122),2)</f>
        <v>1.55</v>
      </c>
      <c r="J122" s="153"/>
    </row>
    <row r="123" spans="1:10" ht="16.5" customHeight="1">
      <c r="A123" s="108" t="s">
        <v>222</v>
      </c>
      <c r="B123" s="297" t="s">
        <v>209</v>
      </c>
      <c r="C123" s="297"/>
      <c r="D123" s="297"/>
      <c r="E123" s="297"/>
      <c r="F123" s="297"/>
      <c r="G123" s="297"/>
      <c r="H123" s="161">
        <f>((ROUNDUP((H11/12),0))/H11)</f>
        <v>8.6999999999999994E-2</v>
      </c>
      <c r="I123" s="250">
        <f>'DADOS BÁSICOS 2º ANO'!$D$46*H123</f>
        <v>3.1</v>
      </c>
      <c r="J123" s="164"/>
    </row>
    <row r="124" spans="1:10" ht="12.75" customHeight="1">
      <c r="A124" s="154" t="s">
        <v>60</v>
      </c>
      <c r="B124" s="295" t="s">
        <v>44</v>
      </c>
      <c r="C124" s="295"/>
      <c r="D124" s="295"/>
      <c r="E124" s="295"/>
      <c r="F124" s="295"/>
      <c r="G124" s="295"/>
      <c r="H124" s="149"/>
      <c r="I124" s="163">
        <f>'DADOS BÁSICOS 2º ANO'!$D$50/'MEMÓRIA DE CÁLCULO REF 2º ANO'!H10</f>
        <v>0</v>
      </c>
      <c r="J124" s="164"/>
    </row>
    <row r="125" spans="1:10" ht="12.75" customHeight="1">
      <c r="A125" s="154" t="s">
        <v>62</v>
      </c>
      <c r="B125" s="295" t="s">
        <v>47</v>
      </c>
      <c r="C125" s="295"/>
      <c r="D125" s="295"/>
      <c r="E125" s="295"/>
      <c r="F125" s="295"/>
      <c r="G125" s="295"/>
      <c r="H125" s="149"/>
      <c r="I125" s="163">
        <f>SUM(I126:I128)</f>
        <v>0.24</v>
      </c>
      <c r="J125" s="164"/>
    </row>
    <row r="126" spans="1:10" ht="12.75" customHeight="1">
      <c r="A126" s="69" t="s">
        <v>224</v>
      </c>
      <c r="B126" s="286" t="s">
        <v>226</v>
      </c>
      <c r="C126" s="286"/>
      <c r="D126" s="286"/>
      <c r="E126" s="286"/>
      <c r="F126" s="286"/>
      <c r="G126" s="286"/>
      <c r="H126" s="149"/>
      <c r="I126" s="163">
        <f>('DADOS BÁSICOS 2º ANO'!$G$54/'DADOS BÁSICOS 2º ANO'!$C$54)/('MEMÓRIA DE CÁLCULO REF 2º ANO'!$H$11+'TELEFONISTA 2º ANO'!$H$11)</f>
        <v>0.28999999999999998</v>
      </c>
      <c r="J126" s="164"/>
    </row>
    <row r="127" spans="1:10">
      <c r="A127" s="158" t="s">
        <v>225</v>
      </c>
      <c r="B127" s="296" t="s">
        <v>227</v>
      </c>
      <c r="C127" s="296"/>
      <c r="D127" s="296"/>
      <c r="E127" s="296"/>
      <c r="F127" s="296"/>
      <c r="G127" s="296"/>
      <c r="H127" s="159"/>
      <c r="I127" s="165">
        <f>(('DADOS BÁSICOS LICITAÇÃO'!$G$54/'DADOS BÁSICOS LICITAÇÃO'!$C$54)/($H$11+'TELEFONISTA 2º ANO'!$H$11+(ROUNDUP(((H109*H11)/(365*0.6986)),0)+(ROUNDUP((('TELEFONISTA 2º ANO'!H109*'TELEFONISTA 2º ANO'!H11)/(365*0.6986)),0))))-I126)</f>
        <v>-0.02</v>
      </c>
    </row>
    <row r="128" spans="1:10" ht="14.25" customHeight="1">
      <c r="A128" s="108" t="s">
        <v>225</v>
      </c>
      <c r="B128" s="297" t="s">
        <v>210</v>
      </c>
      <c r="C128" s="297"/>
      <c r="D128" s="297"/>
      <c r="E128" s="297"/>
      <c r="F128" s="297"/>
      <c r="G128" s="297"/>
      <c r="H128" s="161"/>
      <c r="I128" s="251">
        <f>(('DADOS BÁSICOS 2º ANO'!$G$54/'DADOS BÁSICOS 2º ANO'!$C$54)/('RECEPÇÃO 2º ANO'!$H$11+'TELEFONISTA 2º ANO'!$H$11+ROUNDUP((H11/12),0)+ROUNDUP(('TELEFONISTA 2º ANO'!H11/12),0)))-I126</f>
        <v>-0.03</v>
      </c>
    </row>
    <row r="129" spans="1:9">
      <c r="A129" s="287" t="s">
        <v>85</v>
      </c>
      <c r="B129" s="287"/>
      <c r="C129" s="287"/>
      <c r="D129" s="287"/>
      <c r="E129" s="287"/>
      <c r="F129" s="287"/>
      <c r="G129" s="287"/>
      <c r="H129" s="113"/>
      <c r="I129" s="167">
        <f>I120+I124+I125</f>
        <v>40.5</v>
      </c>
    </row>
    <row r="130" spans="1:9">
      <c r="A130" s="289" t="s">
        <v>148</v>
      </c>
      <c r="B130" s="289"/>
      <c r="C130" s="289"/>
      <c r="D130" s="289"/>
      <c r="E130" s="289"/>
      <c r="F130" s="289"/>
      <c r="G130" s="289"/>
      <c r="H130" s="132" t="s">
        <v>93</v>
      </c>
      <c r="I130" s="168">
        <f>I29</f>
        <v>1806.53</v>
      </c>
    </row>
    <row r="131" spans="1:9">
      <c r="A131" s="289"/>
      <c r="B131" s="289"/>
      <c r="C131" s="289"/>
      <c r="D131" s="289"/>
      <c r="E131" s="289"/>
      <c r="F131" s="289"/>
      <c r="G131" s="289"/>
      <c r="H131" s="132" t="s">
        <v>94</v>
      </c>
      <c r="I131" s="168">
        <f>I80</f>
        <v>1807.58</v>
      </c>
    </row>
    <row r="132" spans="1:9">
      <c r="A132" s="289"/>
      <c r="B132" s="289"/>
      <c r="C132" s="289"/>
      <c r="D132" s="289"/>
      <c r="E132" s="289"/>
      <c r="F132" s="289"/>
      <c r="G132" s="289"/>
      <c r="H132" s="132" t="s">
        <v>95</v>
      </c>
      <c r="I132" s="168">
        <f>I89</f>
        <v>59.66</v>
      </c>
    </row>
    <row r="133" spans="1:9">
      <c r="A133" s="289"/>
      <c r="B133" s="289"/>
      <c r="C133" s="289"/>
      <c r="D133" s="289"/>
      <c r="E133" s="289"/>
      <c r="F133" s="289"/>
      <c r="G133" s="289"/>
      <c r="H133" s="132" t="s">
        <v>96</v>
      </c>
      <c r="I133" s="168">
        <f>I117</f>
        <v>86.9</v>
      </c>
    </row>
    <row r="134" spans="1:9" ht="24" customHeight="1">
      <c r="A134" s="289"/>
      <c r="B134" s="289"/>
      <c r="C134" s="289"/>
      <c r="D134" s="289"/>
      <c r="E134" s="289"/>
      <c r="F134" s="289"/>
      <c r="G134" s="289"/>
      <c r="H134" s="132" t="s">
        <v>97</v>
      </c>
      <c r="I134" s="82">
        <f>I129</f>
        <v>40.5</v>
      </c>
    </row>
    <row r="135" spans="1:9">
      <c r="A135" s="289"/>
      <c r="B135" s="289"/>
      <c r="C135" s="289"/>
      <c r="D135" s="289"/>
      <c r="E135" s="289"/>
      <c r="F135" s="289"/>
      <c r="G135" s="289"/>
      <c r="H135" s="132" t="s">
        <v>85</v>
      </c>
      <c r="I135" s="82">
        <f>SUM(I130:I134)</f>
        <v>3801.17</v>
      </c>
    </row>
    <row r="136" spans="1:9">
      <c r="A136" s="88" t="s">
        <v>149</v>
      </c>
      <c r="B136" s="88"/>
      <c r="C136" s="88"/>
      <c r="D136" s="88"/>
      <c r="E136" s="88"/>
      <c r="F136" s="88"/>
      <c r="G136" s="88"/>
      <c r="H136" s="89"/>
      <c r="I136" s="90"/>
    </row>
    <row r="137" spans="1:9">
      <c r="A137" s="66">
        <v>6</v>
      </c>
      <c r="B137" s="290" t="s">
        <v>150</v>
      </c>
      <c r="C137" s="290"/>
      <c r="D137" s="290"/>
      <c r="E137" s="290"/>
      <c r="F137" s="290"/>
      <c r="G137" s="290"/>
      <c r="H137" s="67" t="s">
        <v>78</v>
      </c>
      <c r="I137" s="68" t="s">
        <v>79</v>
      </c>
    </row>
    <row r="138" spans="1:9">
      <c r="A138" s="69" t="s">
        <v>58</v>
      </c>
      <c r="B138" s="291" t="s">
        <v>151</v>
      </c>
      <c r="C138" s="292"/>
      <c r="D138" s="292"/>
      <c r="E138" s="292"/>
      <c r="F138" s="292"/>
      <c r="G138" s="293"/>
      <c r="H138" s="124">
        <f>'DADOS BÁSICOS 2º ANO'!$S8</f>
        <v>0.05</v>
      </c>
      <c r="I138" s="71">
        <f>(H138*I135)</f>
        <v>190.06</v>
      </c>
    </row>
    <row r="139" spans="1:9" ht="12.75" customHeight="1">
      <c r="A139" s="69" t="s">
        <v>60</v>
      </c>
      <c r="B139" s="291" t="s">
        <v>152</v>
      </c>
      <c r="C139" s="292"/>
      <c r="D139" s="292"/>
      <c r="E139" s="292"/>
      <c r="F139" s="292"/>
      <c r="G139" s="293"/>
      <c r="H139" s="124">
        <f>'DADOS BÁSICOS 2º ANO'!$T8</f>
        <v>0.05</v>
      </c>
      <c r="I139" s="71">
        <f>H139*(I135+I138)</f>
        <v>199.56</v>
      </c>
    </row>
    <row r="140" spans="1:9" ht="12.75" customHeight="1">
      <c r="A140" s="69" t="s">
        <v>62</v>
      </c>
      <c r="B140" s="294" t="s">
        <v>153</v>
      </c>
      <c r="C140" s="294"/>
      <c r="D140" s="294"/>
      <c r="E140" s="294"/>
      <c r="F140" s="294"/>
      <c r="G140" s="294"/>
      <c r="H140" s="169">
        <f>SUM(H141+H142+H143)</f>
        <v>8.6499999999999994E-2</v>
      </c>
      <c r="I140" s="170">
        <f>SUM(I141:I143)</f>
        <v>396.83</v>
      </c>
    </row>
    <row r="141" spans="1:9" ht="12.75" customHeight="1">
      <c r="A141" s="154"/>
      <c r="B141" s="286" t="s">
        <v>154</v>
      </c>
      <c r="C141" s="286"/>
      <c r="D141" s="286"/>
      <c r="E141" s="286"/>
      <c r="F141" s="286"/>
      <c r="G141" s="286"/>
      <c r="H141" s="127">
        <f>IF('DADOS BÁSICOS 2º ANO'!$B$25="LUCRO PRESUMIDO",'DADOS BÁSICOS 2º ANO'!$B$28,'DADOS BÁSICOS 2º ANO'!$C$28)</f>
        <v>0.03</v>
      </c>
      <c r="I141" s="71">
        <f>SUM(H141*I154)</f>
        <v>137.63</v>
      </c>
    </row>
    <row r="142" spans="1:9">
      <c r="A142" s="154"/>
      <c r="B142" s="286" t="s">
        <v>155</v>
      </c>
      <c r="C142" s="286"/>
      <c r="D142" s="286"/>
      <c r="E142" s="286"/>
      <c r="F142" s="286"/>
      <c r="G142" s="286"/>
      <c r="H142" s="127">
        <f>IF('DADOS BÁSICOS 2º ANO'!$B$25="LUCRO PRESUMIDO",'DADOS BÁSICOS 2º ANO'!$B$27,'DADOS BÁSICOS 2º ANO'!$C$27)</f>
        <v>6.4999999999999997E-3</v>
      </c>
      <c r="I142" s="71">
        <f>SUM(H142*I154)</f>
        <v>29.82</v>
      </c>
    </row>
    <row r="143" spans="1:9" ht="19.5" customHeight="1">
      <c r="A143" s="154"/>
      <c r="B143" s="286" t="s">
        <v>156</v>
      </c>
      <c r="C143" s="286"/>
      <c r="D143" s="286"/>
      <c r="E143" s="286"/>
      <c r="F143" s="286"/>
      <c r="G143" s="286"/>
      <c r="H143" s="127">
        <f>'DADOS BÁSICOS 2º ANO'!U8</f>
        <v>0.05</v>
      </c>
      <c r="I143" s="71">
        <f>SUM(H143*I154)</f>
        <v>229.38</v>
      </c>
    </row>
    <row r="144" spans="1:9" ht="12.75" customHeight="1">
      <c r="A144" s="287" t="s">
        <v>85</v>
      </c>
      <c r="B144" s="287"/>
      <c r="C144" s="287"/>
      <c r="D144" s="287"/>
      <c r="E144" s="287"/>
      <c r="F144" s="287"/>
      <c r="G144" s="287"/>
      <c r="H144" s="171"/>
      <c r="I144" s="80">
        <f>SUM(I138+I139+I141+I142+I143)</f>
        <v>786.45</v>
      </c>
    </row>
    <row r="145" spans="1:9" ht="12.75" customHeight="1">
      <c r="A145" s="172" t="s">
        <v>157</v>
      </c>
      <c r="B145" s="173"/>
      <c r="C145" s="173"/>
      <c r="D145" s="173"/>
      <c r="E145" s="173"/>
      <c r="F145" s="173"/>
      <c r="G145" s="173"/>
      <c r="H145" s="174"/>
      <c r="I145" s="175"/>
    </row>
    <row r="146" spans="1:9" ht="12.75" customHeight="1">
      <c r="A146" s="288" t="s">
        <v>158</v>
      </c>
      <c r="B146" s="288"/>
      <c r="C146" s="288"/>
      <c r="D146" s="288"/>
      <c r="E146" s="288"/>
      <c r="F146" s="288"/>
      <c r="G146" s="288"/>
      <c r="H146" s="148"/>
      <c r="I146" s="84" t="s">
        <v>79</v>
      </c>
    </row>
    <row r="147" spans="1:9" ht="12.75" customHeight="1">
      <c r="A147" s="176" t="s">
        <v>58</v>
      </c>
      <c r="B147" s="284" t="s">
        <v>159</v>
      </c>
      <c r="C147" s="284"/>
      <c r="D147" s="284"/>
      <c r="E147" s="284"/>
      <c r="F147" s="284"/>
      <c r="G147" s="284"/>
      <c r="H147" s="48"/>
      <c r="I147" s="177">
        <f>I29</f>
        <v>1806.53</v>
      </c>
    </row>
    <row r="148" spans="1:9" ht="12.75" customHeight="1">
      <c r="A148" s="176" t="s">
        <v>60</v>
      </c>
      <c r="B148" s="284" t="s">
        <v>121</v>
      </c>
      <c r="C148" s="284"/>
      <c r="D148" s="284"/>
      <c r="E148" s="284"/>
      <c r="F148" s="284"/>
      <c r="G148" s="284"/>
      <c r="H148" s="178"/>
      <c r="I148" s="177">
        <f>I80</f>
        <v>1807.58</v>
      </c>
    </row>
    <row r="149" spans="1:9" ht="12.75" customHeight="1">
      <c r="A149" s="176" t="s">
        <v>62</v>
      </c>
      <c r="B149" s="284" t="s">
        <v>160</v>
      </c>
      <c r="C149" s="284"/>
      <c r="D149" s="284"/>
      <c r="E149" s="284"/>
      <c r="F149" s="284"/>
      <c r="G149" s="284"/>
      <c r="H149" s="178"/>
      <c r="I149" s="177">
        <f>I89</f>
        <v>59.66</v>
      </c>
    </row>
    <row r="150" spans="1:9" ht="16.5" customHeight="1">
      <c r="A150" s="176" t="s">
        <v>64</v>
      </c>
      <c r="B150" s="284" t="s">
        <v>144</v>
      </c>
      <c r="C150" s="284"/>
      <c r="D150" s="284"/>
      <c r="E150" s="284"/>
      <c r="F150" s="284"/>
      <c r="G150" s="284"/>
      <c r="H150" s="178"/>
      <c r="I150" s="177">
        <f>I117</f>
        <v>86.9</v>
      </c>
    </row>
    <row r="151" spans="1:9" ht="12.75" customHeight="1">
      <c r="A151" s="176" t="s">
        <v>66</v>
      </c>
      <c r="B151" s="284" t="s">
        <v>161</v>
      </c>
      <c r="C151" s="284"/>
      <c r="D151" s="284"/>
      <c r="E151" s="284"/>
      <c r="F151" s="284"/>
      <c r="G151" s="284"/>
      <c r="H151" s="178"/>
      <c r="I151" s="177">
        <f>I129</f>
        <v>40.5</v>
      </c>
    </row>
    <row r="152" spans="1:9" ht="16.5" customHeight="1">
      <c r="A152" s="285" t="s">
        <v>162</v>
      </c>
      <c r="B152" s="285"/>
      <c r="C152" s="285"/>
      <c r="D152" s="285"/>
      <c r="E152" s="285"/>
      <c r="F152" s="285"/>
      <c r="G152" s="285"/>
      <c r="H152" s="179"/>
      <c r="I152" s="180">
        <f>SUM(I147:I151)</f>
        <v>3801.17</v>
      </c>
    </row>
    <row r="153" spans="1:9" ht="19.5" customHeight="1">
      <c r="A153" s="181" t="s">
        <v>84</v>
      </c>
      <c r="B153" s="286" t="s">
        <v>163</v>
      </c>
      <c r="C153" s="286"/>
      <c r="D153" s="286"/>
      <c r="E153" s="286"/>
      <c r="F153" s="286"/>
      <c r="G153" s="286"/>
      <c r="H153" s="48"/>
      <c r="I153" s="182">
        <f>I144</f>
        <v>786.45</v>
      </c>
    </row>
    <row r="154" spans="1:9" ht="17" thickBot="1">
      <c r="A154" s="285" t="s">
        <v>164</v>
      </c>
      <c r="B154" s="285"/>
      <c r="C154" s="285"/>
      <c r="D154" s="285"/>
      <c r="E154" s="285"/>
      <c r="F154" s="285"/>
      <c r="G154" s="285"/>
      <c r="H154" s="183"/>
      <c r="I154" s="184">
        <f>SUM(I152+I138+I139)/(1-H140)</f>
        <v>4587.62</v>
      </c>
    </row>
    <row r="155" spans="1:9">
      <c r="A155" s="172" t="s">
        <v>165</v>
      </c>
      <c r="B155" s="185"/>
      <c r="C155" s="185"/>
      <c r="D155" s="185"/>
      <c r="E155" s="185"/>
      <c r="F155" s="185"/>
      <c r="G155" s="185"/>
      <c r="H155" s="186" t="s">
        <v>166</v>
      </c>
      <c r="I155" s="185" t="s">
        <v>79</v>
      </c>
    </row>
    <row r="156" spans="1:9">
      <c r="A156" s="43" t="s">
        <v>198</v>
      </c>
      <c r="B156" s="283" t="s">
        <v>25</v>
      </c>
      <c r="C156" s="283"/>
      <c r="D156" s="283"/>
      <c r="E156" s="283"/>
      <c r="F156" s="283"/>
      <c r="G156" s="283"/>
      <c r="H156" s="187">
        <f>H11</f>
        <v>46</v>
      </c>
      <c r="I156" s="188">
        <f>H156*I154</f>
        <v>211030.52</v>
      </c>
    </row>
    <row r="157" spans="1:9">
      <c r="I157" s="35"/>
    </row>
    <row r="158" spans="1:9">
      <c r="I158" s="164"/>
    </row>
    <row r="159" spans="1:9">
      <c r="I159" s="164"/>
    </row>
    <row r="160" spans="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ExyIZPR1n6OZeyo31teP7m2AtCOINewr9yVTsEira/GjRer3obqjutpcRFqTWpSU9cPiNmZgBjI2arl6egz0YQ==" saltValue="Epgj6S7xqo1Dn5DRnL7Ajg==" spinCount="100000" sheet="1" objects="1" scenarios="1"/>
  <mergeCells count="148">
    <mergeCell ref="B9:G9"/>
    <mergeCell ref="H9:I9"/>
    <mergeCell ref="B8:G8"/>
    <mergeCell ref="H8:I8"/>
    <mergeCell ref="B7:G7"/>
    <mergeCell ref="H7:I7"/>
    <mergeCell ref="A2:I2"/>
    <mergeCell ref="A3:I3"/>
    <mergeCell ref="A4:I4"/>
    <mergeCell ref="A5:I5"/>
    <mergeCell ref="A6:I6"/>
    <mergeCell ref="B15:G15"/>
    <mergeCell ref="H15:I15"/>
    <mergeCell ref="B14:G14"/>
    <mergeCell ref="H14:I14"/>
    <mergeCell ref="B13:G13"/>
    <mergeCell ref="H13:I13"/>
    <mergeCell ref="B11:G11"/>
    <mergeCell ref="H11:I11"/>
    <mergeCell ref="B10:G10"/>
    <mergeCell ref="H10:I10"/>
    <mergeCell ref="B20:G20"/>
    <mergeCell ref="H20:I20"/>
    <mergeCell ref="B19:G19"/>
    <mergeCell ref="H19:I19"/>
    <mergeCell ref="B18:G18"/>
    <mergeCell ref="H18:I18"/>
    <mergeCell ref="B17:G17"/>
    <mergeCell ref="H17:I17"/>
    <mergeCell ref="B16:G16"/>
    <mergeCell ref="H16:I16"/>
    <mergeCell ref="B27:G27"/>
    <mergeCell ref="B28:D28"/>
    <mergeCell ref="E28:G28"/>
    <mergeCell ref="A29:G29"/>
    <mergeCell ref="B31:G31"/>
    <mergeCell ref="B32:G32"/>
    <mergeCell ref="B22:G22"/>
    <mergeCell ref="B23:G23"/>
    <mergeCell ref="B24:G24"/>
    <mergeCell ref="B25:G25"/>
    <mergeCell ref="B26:G26"/>
    <mergeCell ref="A40:G40"/>
    <mergeCell ref="A41:G43"/>
    <mergeCell ref="B45:G45"/>
    <mergeCell ref="B46:G46"/>
    <mergeCell ref="B47:G47"/>
    <mergeCell ref="B48:G48"/>
    <mergeCell ref="B33:G33"/>
    <mergeCell ref="C34:G34"/>
    <mergeCell ref="C35:G35"/>
    <mergeCell ref="C37:G37"/>
    <mergeCell ref="C38:G38"/>
    <mergeCell ref="C39:G39"/>
    <mergeCell ref="B58:G58"/>
    <mergeCell ref="B59:G59"/>
    <mergeCell ref="B60:G60"/>
    <mergeCell ref="B61:G61"/>
    <mergeCell ref="I61:I64"/>
    <mergeCell ref="B56:G56"/>
    <mergeCell ref="B57:G57"/>
    <mergeCell ref="I57:I60"/>
    <mergeCell ref="B49:G49"/>
    <mergeCell ref="B50:G50"/>
    <mergeCell ref="B51:G51"/>
    <mergeCell ref="B52:G52"/>
    <mergeCell ref="B53:G53"/>
    <mergeCell ref="A54:G54"/>
    <mergeCell ref="B66:G66"/>
    <mergeCell ref="B67:G67"/>
    <mergeCell ref="B68:G68"/>
    <mergeCell ref="B70:G70"/>
    <mergeCell ref="B71:G71"/>
    <mergeCell ref="B72:G72"/>
    <mergeCell ref="B62:G62"/>
    <mergeCell ref="B63:G63"/>
    <mergeCell ref="B64:G64"/>
    <mergeCell ref="B65:G65"/>
    <mergeCell ref="A80:G80"/>
    <mergeCell ref="B82:G82"/>
    <mergeCell ref="B83:G83"/>
    <mergeCell ref="B84:G84"/>
    <mergeCell ref="B85:G85"/>
    <mergeCell ref="B86:G86"/>
    <mergeCell ref="B73:G73"/>
    <mergeCell ref="A74:G74"/>
    <mergeCell ref="B76:G76"/>
    <mergeCell ref="B77:G77"/>
    <mergeCell ref="B78:G78"/>
    <mergeCell ref="B79:G79"/>
    <mergeCell ref="B98:G98"/>
    <mergeCell ref="B99:G99"/>
    <mergeCell ref="B100:G100"/>
    <mergeCell ref="B101:G101"/>
    <mergeCell ref="B102:G102"/>
    <mergeCell ref="B103:G103"/>
    <mergeCell ref="B87:G87"/>
    <mergeCell ref="B88:G88"/>
    <mergeCell ref="A89:G89"/>
    <mergeCell ref="A90:G93"/>
    <mergeCell ref="B96:G96"/>
    <mergeCell ref="B97:G97"/>
    <mergeCell ref="B110:G110"/>
    <mergeCell ref="B111:G111"/>
    <mergeCell ref="A112:G112"/>
    <mergeCell ref="B114:G114"/>
    <mergeCell ref="B115:G115"/>
    <mergeCell ref="B116:G116"/>
    <mergeCell ref="B104:G104"/>
    <mergeCell ref="B105:G105"/>
    <mergeCell ref="B106:G106"/>
    <mergeCell ref="B107:G107"/>
    <mergeCell ref="B108:G108"/>
    <mergeCell ref="A109:G109"/>
    <mergeCell ref="B126:G126"/>
    <mergeCell ref="B127:G127"/>
    <mergeCell ref="B128:G128"/>
    <mergeCell ref="A129:G129"/>
    <mergeCell ref="A117:G117"/>
    <mergeCell ref="B119:G119"/>
    <mergeCell ref="B120:G120"/>
    <mergeCell ref="B121:G121"/>
    <mergeCell ref="B122:G122"/>
    <mergeCell ref="B123:G123"/>
    <mergeCell ref="B156:G156"/>
    <mergeCell ref="A1:I1"/>
    <mergeCell ref="C36:G36"/>
    <mergeCell ref="B69:G69"/>
    <mergeCell ref="B149:G149"/>
    <mergeCell ref="B150:G150"/>
    <mergeCell ref="B151:G151"/>
    <mergeCell ref="A152:G152"/>
    <mergeCell ref="B153:G153"/>
    <mergeCell ref="A154:G154"/>
    <mergeCell ref="B142:G142"/>
    <mergeCell ref="B143:G143"/>
    <mergeCell ref="A144:G144"/>
    <mergeCell ref="A146:G146"/>
    <mergeCell ref="B147:G147"/>
    <mergeCell ref="B148:G148"/>
    <mergeCell ref="A130:G135"/>
    <mergeCell ref="B137:G137"/>
    <mergeCell ref="B138:G138"/>
    <mergeCell ref="B139:G139"/>
    <mergeCell ref="B140:G140"/>
    <mergeCell ref="B141:G141"/>
    <mergeCell ref="B124:G124"/>
    <mergeCell ref="B125:G125"/>
  </mergeCells>
  <pageMargins left="0.511811024" right="0.511811024" top="0.78740157500000008" bottom="0.78740157500000008" header="0.31496062000000008" footer="0.31496062000000008"/>
  <pageSetup paperSize="9" scale="65" fitToWidth="0" fitToHeight="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245DC-A0B6-4B59-A538-4B6237C75415}">
  <dimension ref="A1:U71"/>
  <sheetViews>
    <sheetView zoomScale="90" zoomScaleNormal="90" workbookViewId="0">
      <selection activeCell="K162" sqref="A1:XFD1048576"/>
    </sheetView>
  </sheetViews>
  <sheetFormatPr defaultColWidth="8.26953125" defaultRowHeight="16"/>
  <cols>
    <col min="1" max="1" width="25.81640625" style="34" bestFit="1" customWidth="1"/>
    <col min="2" max="2" width="20.453125" style="26" bestFit="1" customWidth="1"/>
    <col min="3" max="3" width="21.7265625" style="26" bestFit="1" customWidth="1"/>
    <col min="4" max="4" width="20.81640625" style="26" bestFit="1" customWidth="1"/>
    <col min="5" max="5" width="17" style="26" bestFit="1" customWidth="1"/>
    <col min="6" max="6" width="14.26953125" style="26" customWidth="1"/>
    <col min="7" max="7" width="16.1796875" style="26" customWidth="1"/>
    <col min="8" max="8" width="13.54296875" style="26" bestFit="1" customWidth="1"/>
    <col min="9" max="9" width="12.453125" style="26" customWidth="1"/>
    <col min="10" max="10" width="11.1796875" style="26" bestFit="1" customWidth="1"/>
    <col min="11" max="11" width="10.7265625" style="26" customWidth="1"/>
    <col min="12" max="14" width="11.1796875" style="26" bestFit="1" customWidth="1"/>
    <col min="15" max="15" width="8.26953125" style="26" customWidth="1"/>
    <col min="16" max="16" width="8.81640625" style="26" bestFit="1" customWidth="1"/>
    <col min="17" max="18" width="8.26953125" style="26"/>
    <col min="19" max="19" width="8.81640625" style="26" bestFit="1" customWidth="1"/>
    <col min="20" max="20" width="8.26953125" style="26"/>
    <col min="21" max="21" width="8.81640625" style="26" bestFit="1" customWidth="1"/>
    <col min="22" max="22" width="8.26953125" style="26"/>
    <col min="23" max="23" width="11" style="26" bestFit="1" customWidth="1"/>
    <col min="24" max="16384" width="8.26953125" style="26"/>
  </cols>
  <sheetData>
    <row r="1" spans="1:21" ht="18">
      <c r="A1" s="361" t="s">
        <v>9</v>
      </c>
      <c r="B1" s="362"/>
      <c r="C1" s="362"/>
      <c r="D1" s="362"/>
      <c r="E1" s="362"/>
      <c r="F1" s="362"/>
      <c r="G1" s="362"/>
      <c r="H1" s="362"/>
      <c r="I1" s="362"/>
      <c r="J1" s="362"/>
      <c r="K1" s="362"/>
      <c r="L1" s="362"/>
      <c r="M1" s="362"/>
      <c r="N1" s="362"/>
      <c r="O1" s="362"/>
      <c r="P1" s="362"/>
      <c r="Q1" s="362"/>
      <c r="R1" s="362"/>
      <c r="S1" s="362"/>
      <c r="T1" s="362"/>
      <c r="U1" s="363"/>
    </row>
    <row r="2" spans="1:21" ht="18">
      <c r="A2" s="358" t="s">
        <v>276</v>
      </c>
      <c r="B2" s="359"/>
      <c r="C2" s="359"/>
      <c r="D2" s="359"/>
      <c r="E2" s="359"/>
      <c r="F2" s="359"/>
      <c r="G2" s="359"/>
      <c r="H2" s="359"/>
      <c r="I2" s="359"/>
      <c r="J2" s="359"/>
      <c r="K2" s="359"/>
      <c r="L2" s="359"/>
      <c r="M2" s="359"/>
      <c r="N2" s="359"/>
      <c r="O2" s="359"/>
      <c r="P2" s="359"/>
      <c r="Q2" s="359"/>
      <c r="R2" s="359"/>
      <c r="S2" s="359"/>
      <c r="T2" s="359"/>
      <c r="U2" s="360"/>
    </row>
    <row r="3" spans="1:21" ht="33">
      <c r="A3" s="252" t="str">
        <f>'DADOS BÁSICOS LICITAÇÃO'!A3</f>
        <v>Data de apresentação da proposta (dia/mês/ano)</v>
      </c>
      <c r="B3" s="252" t="str">
        <f>'DADOS BÁSICOS LICITAÇÃO'!B3</f>
        <v>DATA DA SESSÃO PÚBLICA</v>
      </c>
      <c r="C3" s="252" t="str">
        <f>'DADOS BÁSICOS LICITAÇÃO'!C3</f>
        <v>HORA DA ABERTURA</v>
      </c>
      <c r="D3" s="252" t="str">
        <f>'DADOS BÁSICOS LICITAÇÃO'!D3</f>
        <v>PROCESSO</v>
      </c>
      <c r="E3" s="252" t="str">
        <f>'DADOS BÁSICOS LICITAÇÃO'!E3</f>
        <v>PREGÃO ELETRÔNICO Nº</v>
      </c>
      <c r="G3" s="27"/>
      <c r="H3" s="27"/>
      <c r="I3" s="27"/>
      <c r="J3" s="27"/>
      <c r="K3" s="27"/>
      <c r="L3" s="27"/>
    </row>
    <row r="4" spans="1:21" ht="16.5">
      <c r="A4" s="191">
        <f ca="1">'DADOS BÁSICOS LICITAÇÃO'!A4</f>
        <v>44344</v>
      </c>
      <c r="B4" s="191">
        <f>'DADOS BÁSICOS LICITAÇÃO'!B4</f>
        <v>44358</v>
      </c>
      <c r="C4" s="253">
        <f>'DADOS BÁSICOS LICITAÇÃO'!C4</f>
        <v>0.39583333333333298</v>
      </c>
      <c r="D4" s="191" t="str">
        <f>'DADOS BÁSICOS LICITAÇÃO'!D4</f>
        <v>08385.000738/2021-44</v>
      </c>
      <c r="E4" s="191" t="str">
        <f>'DADOS BÁSICOS LICITAÇÃO'!E4</f>
        <v>01/2021</v>
      </c>
      <c r="F4" s="27"/>
      <c r="G4" s="27"/>
      <c r="H4" s="27"/>
      <c r="I4" s="27"/>
      <c r="J4" s="27"/>
      <c r="K4" s="27"/>
      <c r="L4" s="27"/>
    </row>
    <row r="5" spans="1:21" s="28" customFormat="1" ht="16.5">
      <c r="A5" s="192"/>
      <c r="D5" s="29"/>
      <c r="E5" s="29"/>
      <c r="F5" s="29"/>
      <c r="G5" s="29"/>
      <c r="H5" s="29"/>
      <c r="I5" s="29"/>
      <c r="J5" s="29"/>
      <c r="K5" s="29"/>
      <c r="L5" s="29"/>
    </row>
    <row r="6" spans="1:21" ht="16.5">
      <c r="E6" s="27"/>
      <c r="F6" s="27"/>
      <c r="G6" s="27"/>
      <c r="H6" s="27"/>
      <c r="I6" s="27"/>
      <c r="J6" s="27"/>
      <c r="K6" s="27"/>
      <c r="L6" s="27"/>
    </row>
    <row r="7" spans="1:21" s="30" customFormat="1" ht="116">
      <c r="A7" s="254" t="s">
        <v>10</v>
      </c>
      <c r="B7" s="255" t="s">
        <v>197</v>
      </c>
      <c r="C7" s="255" t="s">
        <v>241</v>
      </c>
      <c r="D7" s="254" t="s">
        <v>13</v>
      </c>
      <c r="E7" s="254" t="s">
        <v>14</v>
      </c>
      <c r="F7" s="255" t="s">
        <v>193</v>
      </c>
      <c r="G7" s="255" t="s">
        <v>15</v>
      </c>
      <c r="H7" s="254" t="s">
        <v>16</v>
      </c>
      <c r="I7" s="190" t="s">
        <v>192</v>
      </c>
      <c r="J7" s="190" t="s">
        <v>191</v>
      </c>
      <c r="K7" s="190" t="s">
        <v>190</v>
      </c>
      <c r="L7" s="190" t="s">
        <v>189</v>
      </c>
      <c r="M7" s="190" t="s">
        <v>195</v>
      </c>
      <c r="N7" s="190" t="s">
        <v>242</v>
      </c>
      <c r="O7" s="190" t="s">
        <v>243</v>
      </c>
      <c r="P7" s="190" t="s">
        <v>194</v>
      </c>
      <c r="Q7" s="190" t="s">
        <v>245</v>
      </c>
      <c r="R7" s="190" t="s">
        <v>244</v>
      </c>
      <c r="S7" s="190" t="s">
        <v>247</v>
      </c>
      <c r="T7" s="190" t="s">
        <v>248</v>
      </c>
      <c r="U7" s="256" t="s">
        <v>17</v>
      </c>
    </row>
    <row r="8" spans="1:21" s="31" customFormat="1" ht="16.5">
      <c r="A8" s="257" t="str">
        <f>'DADOS BÁSICOS LICITAÇÃO'!A8</f>
        <v>Curitiba/PR</v>
      </c>
      <c r="B8" s="22">
        <f>'DADOS BÁSICOS LICITAÇÃO'!B8</f>
        <v>46</v>
      </c>
      <c r="C8" s="211" t="str">
        <f>'DADOS BÁSICOS LICITAÇÃO'!C8</f>
        <v>Recepcionista</v>
      </c>
      <c r="D8" s="258" t="str">
        <f>'DADOS BÁSICOS LICITAÇÃO'!D8</f>
        <v>PR000326/2021</v>
      </c>
      <c r="E8" s="259">
        <f>'DADOS BÁSICOS LICITAÇÃO'!E8</f>
        <v>44228</v>
      </c>
      <c r="F8" s="258" t="str">
        <f>'DADOS BÁSICOS LICITAÇÃO'!F8</f>
        <v>SIEMACOxSEAC</v>
      </c>
      <c r="G8" s="208">
        <f>'DADOS BÁSICOS LICITAÇÃO'!G8</f>
        <v>220</v>
      </c>
      <c r="H8" s="218">
        <f>'DADOS BÁSICOS LICITAÇÃO'!H8</f>
        <v>1516.66</v>
      </c>
      <c r="I8" s="218">
        <f>'DADOS BÁSICOS LICITAÇÃO'!I8</f>
        <v>450</v>
      </c>
      <c r="J8" s="218">
        <f>'DADOS BÁSICOS LICITAÇÃO'!J8</f>
        <v>64</v>
      </c>
      <c r="K8" s="218">
        <f>'DADOS BÁSICOS LICITAÇÃO'!K8</f>
        <v>21</v>
      </c>
      <c r="L8" s="218">
        <f>'DADOS BÁSICOS LICITAÇÃO'!L8</f>
        <v>21</v>
      </c>
      <c r="M8" s="218">
        <f>'DADOS BÁSICOS LICITAÇÃO'!M8</f>
        <v>450</v>
      </c>
      <c r="N8" s="260">
        <f>'DADOS BÁSICOS LICITAÇÃO'!N8</f>
        <v>0.2</v>
      </c>
      <c r="O8" s="261">
        <f>'DADOS BÁSICOS LICITAÇÃO'!O8</f>
        <v>44</v>
      </c>
      <c r="P8" s="218">
        <f>'DADOS BÁSICOS LICITAÇÃO'!P8</f>
        <v>4.5</v>
      </c>
      <c r="Q8" s="262">
        <f>'DADOS BÁSICOS LICITAÇÃO'!Q8</f>
        <v>0.33710000000000001</v>
      </c>
      <c r="R8" s="262">
        <f>'DADOS BÁSICOS LICITAÇÃO'!R8</f>
        <v>0.33710000000000001</v>
      </c>
      <c r="S8" s="262">
        <f>'DADOS BÁSICOS LICITAÇÃO'!S8</f>
        <v>0.05</v>
      </c>
      <c r="T8" s="262">
        <f>'DADOS BÁSICOS LICITAÇÃO'!T8</f>
        <v>0.05</v>
      </c>
      <c r="U8" s="263">
        <f>'DADOS BÁSICOS LICITAÇÃO'!U8</f>
        <v>0.05</v>
      </c>
    </row>
    <row r="9" spans="1:21" ht="16.5">
      <c r="A9" s="257" t="str">
        <f>'DADOS BÁSICOS LICITAÇÃO'!A9</f>
        <v>Guarapuava/PR</v>
      </c>
      <c r="B9" s="22">
        <f>'DADOS BÁSICOS LICITAÇÃO'!B9</f>
        <v>4</v>
      </c>
      <c r="C9" s="211" t="str">
        <f>'DADOS BÁSICOS LICITAÇÃO'!C9</f>
        <v>Recepcionista</v>
      </c>
      <c r="D9" s="258" t="str">
        <f>'DADOS BÁSICOS LICITAÇÃO'!D9</f>
        <v>PR000326/2021</v>
      </c>
      <c r="E9" s="259">
        <f>'DADOS BÁSICOS LICITAÇÃO'!E9</f>
        <v>44228</v>
      </c>
      <c r="F9" s="258" t="str">
        <f>'DADOS BÁSICOS LICITAÇÃO'!F9</f>
        <v>SIEMACOxSEAC</v>
      </c>
      <c r="G9" s="208">
        <f>'DADOS BÁSICOS LICITAÇÃO'!G9</f>
        <v>220</v>
      </c>
      <c r="H9" s="218">
        <f>'DADOS BÁSICOS LICITAÇÃO'!H9</f>
        <v>1516.66</v>
      </c>
      <c r="I9" s="218">
        <f>'DADOS BÁSICOS LICITAÇÃO'!I9</f>
        <v>450</v>
      </c>
      <c r="J9" s="218">
        <f>'DADOS BÁSICOS LICITAÇÃO'!J9</f>
        <v>64</v>
      </c>
      <c r="K9" s="218">
        <f>'DADOS BÁSICOS LICITAÇÃO'!K9</f>
        <v>21</v>
      </c>
      <c r="L9" s="218">
        <f>'DADOS BÁSICOS LICITAÇÃO'!L9</f>
        <v>21</v>
      </c>
      <c r="M9" s="218">
        <f>'DADOS BÁSICOS LICITAÇÃO'!M9</f>
        <v>450</v>
      </c>
      <c r="N9" s="260">
        <f>'DADOS BÁSICOS LICITAÇÃO'!N9</f>
        <v>0.2</v>
      </c>
      <c r="O9" s="261">
        <f>'DADOS BÁSICOS LICITAÇÃO'!O9</f>
        <v>44</v>
      </c>
      <c r="P9" s="218">
        <f>'DADOS BÁSICOS LICITAÇÃO'!P9</f>
        <v>3.4</v>
      </c>
      <c r="Q9" s="262">
        <f>'DADOS BÁSICOS LICITAÇÃO'!Q9</f>
        <v>0.33710000000000001</v>
      </c>
      <c r="R9" s="262">
        <f>'DADOS BÁSICOS LICITAÇÃO'!R9</f>
        <v>0.33710000000000001</v>
      </c>
      <c r="S9" s="262">
        <f>'DADOS BÁSICOS LICITAÇÃO'!S9</f>
        <v>0.05</v>
      </c>
      <c r="T9" s="262">
        <f>'DADOS BÁSICOS LICITAÇÃO'!T9</f>
        <v>0.05</v>
      </c>
      <c r="U9" s="263">
        <f>'DADOS BÁSICOS LICITAÇÃO'!U9</f>
        <v>0.05</v>
      </c>
    </row>
    <row r="10" spans="1:21" ht="16.5">
      <c r="A10" s="257" t="str">
        <f>'DADOS BÁSICOS LICITAÇÃO'!A10</f>
        <v>Londrina/PR</v>
      </c>
      <c r="B10" s="22">
        <f>'DADOS BÁSICOS LICITAÇÃO'!B10</f>
        <v>14</v>
      </c>
      <c r="C10" s="211" t="str">
        <f>'DADOS BÁSICOS LICITAÇÃO'!C10</f>
        <v>Recepcionista</v>
      </c>
      <c r="D10" s="258" t="str">
        <f>'DADOS BÁSICOS LICITAÇÃO'!D10</f>
        <v>PR000326/2021</v>
      </c>
      <c r="E10" s="259">
        <f>'DADOS BÁSICOS LICITAÇÃO'!E10</f>
        <v>44228</v>
      </c>
      <c r="F10" s="258" t="str">
        <f>'DADOS BÁSICOS LICITAÇÃO'!F10</f>
        <v>SIEMACOxSEAC</v>
      </c>
      <c r="G10" s="208">
        <f>'DADOS BÁSICOS LICITAÇÃO'!G10</f>
        <v>220</v>
      </c>
      <c r="H10" s="218">
        <f>'DADOS BÁSICOS LICITAÇÃO'!H10</f>
        <v>1516.66</v>
      </c>
      <c r="I10" s="218">
        <f>'DADOS BÁSICOS LICITAÇÃO'!I10</f>
        <v>450</v>
      </c>
      <c r="J10" s="218">
        <f>'DADOS BÁSICOS LICITAÇÃO'!J10</f>
        <v>64</v>
      </c>
      <c r="K10" s="218">
        <f>'DADOS BÁSICOS LICITAÇÃO'!K10</f>
        <v>21</v>
      </c>
      <c r="L10" s="218">
        <f>'DADOS BÁSICOS LICITAÇÃO'!L10</f>
        <v>21</v>
      </c>
      <c r="M10" s="218">
        <f>'DADOS BÁSICOS LICITAÇÃO'!M10</f>
        <v>450</v>
      </c>
      <c r="N10" s="260">
        <f>'DADOS BÁSICOS LICITAÇÃO'!N10</f>
        <v>0.2</v>
      </c>
      <c r="O10" s="261">
        <f>'DADOS BÁSICOS LICITAÇÃO'!O10</f>
        <v>44</v>
      </c>
      <c r="P10" s="218">
        <f>'DADOS BÁSICOS LICITAÇÃO'!P10</f>
        <v>4.25</v>
      </c>
      <c r="Q10" s="262">
        <f>'DADOS BÁSICOS LICITAÇÃO'!Q10</f>
        <v>0.33710000000000001</v>
      </c>
      <c r="R10" s="262">
        <f>'DADOS BÁSICOS LICITAÇÃO'!R10</f>
        <v>0.33710000000000001</v>
      </c>
      <c r="S10" s="262">
        <f>'DADOS BÁSICOS LICITAÇÃO'!S10</f>
        <v>0.05</v>
      </c>
      <c r="T10" s="262">
        <f>'DADOS BÁSICOS LICITAÇÃO'!T10</f>
        <v>0.05</v>
      </c>
      <c r="U10" s="263">
        <f>'DADOS BÁSICOS LICITAÇÃO'!U10</f>
        <v>0.04</v>
      </c>
    </row>
    <row r="11" spans="1:21" ht="16.5">
      <c r="A11" s="257" t="str">
        <f>'DADOS BÁSICOS LICITAÇÃO'!A11</f>
        <v>Maringá/PR</v>
      </c>
      <c r="B11" s="22">
        <f>'DADOS BÁSICOS LICITAÇÃO'!B11</f>
        <v>12</v>
      </c>
      <c r="C11" s="211" t="str">
        <f>'DADOS BÁSICOS LICITAÇÃO'!C11</f>
        <v>Recepcionista</v>
      </c>
      <c r="D11" s="258" t="str">
        <f>'DADOS BÁSICOS LICITAÇÃO'!D11</f>
        <v>PR000326/2021</v>
      </c>
      <c r="E11" s="259">
        <f>'DADOS BÁSICOS LICITAÇÃO'!E11</f>
        <v>44228</v>
      </c>
      <c r="F11" s="258" t="str">
        <f>'DADOS BÁSICOS LICITAÇÃO'!F11</f>
        <v>SIEMACOxSEAC</v>
      </c>
      <c r="G11" s="208">
        <f>'DADOS BÁSICOS LICITAÇÃO'!G11</f>
        <v>220</v>
      </c>
      <c r="H11" s="218">
        <f>'DADOS BÁSICOS LICITAÇÃO'!H11</f>
        <v>1516.66</v>
      </c>
      <c r="I11" s="218">
        <f>'DADOS BÁSICOS LICITAÇÃO'!I11</f>
        <v>450</v>
      </c>
      <c r="J11" s="218">
        <f>'DADOS BÁSICOS LICITAÇÃO'!J11</f>
        <v>64</v>
      </c>
      <c r="K11" s="218">
        <f>'DADOS BÁSICOS LICITAÇÃO'!K11</f>
        <v>21</v>
      </c>
      <c r="L11" s="218">
        <f>'DADOS BÁSICOS LICITAÇÃO'!L11</f>
        <v>21</v>
      </c>
      <c r="M11" s="218">
        <f>'DADOS BÁSICOS LICITAÇÃO'!M11</f>
        <v>450</v>
      </c>
      <c r="N11" s="260">
        <f>'DADOS BÁSICOS LICITAÇÃO'!N11</f>
        <v>0.2</v>
      </c>
      <c r="O11" s="261">
        <f>'DADOS BÁSICOS LICITAÇÃO'!O11</f>
        <v>44</v>
      </c>
      <c r="P11" s="218">
        <f>'DADOS BÁSICOS LICITAÇÃO'!P11</f>
        <v>4.3</v>
      </c>
      <c r="Q11" s="262">
        <f>'DADOS BÁSICOS LICITAÇÃO'!Q11</f>
        <v>0.33710000000000001</v>
      </c>
      <c r="R11" s="262">
        <f>'DADOS BÁSICOS LICITAÇÃO'!R11</f>
        <v>0.33710000000000001</v>
      </c>
      <c r="S11" s="262">
        <f>'DADOS BÁSICOS LICITAÇÃO'!S11</f>
        <v>0.05</v>
      </c>
      <c r="T11" s="262">
        <f>'DADOS BÁSICOS LICITAÇÃO'!T11</f>
        <v>0.05</v>
      </c>
      <c r="U11" s="263">
        <f>'DADOS BÁSICOS LICITAÇÃO'!U11</f>
        <v>0.03</v>
      </c>
    </row>
    <row r="12" spans="1:21" ht="16.5">
      <c r="A12" s="257" t="str">
        <f>'DADOS BÁSICOS LICITAÇÃO'!A12</f>
        <v>Paranaguá/PR</v>
      </c>
      <c r="B12" s="22">
        <f>'DADOS BÁSICOS LICITAÇÃO'!B12</f>
        <v>6</v>
      </c>
      <c r="C12" s="211" t="str">
        <f>'DADOS BÁSICOS LICITAÇÃO'!C12</f>
        <v>Recepcionista</v>
      </c>
      <c r="D12" s="258" t="str">
        <f>'DADOS BÁSICOS LICITAÇÃO'!D12</f>
        <v>PR000326/2021</v>
      </c>
      <c r="E12" s="259">
        <f>'DADOS BÁSICOS LICITAÇÃO'!E12</f>
        <v>44228</v>
      </c>
      <c r="F12" s="258" t="str">
        <f>'DADOS BÁSICOS LICITAÇÃO'!F12</f>
        <v>SIEMACOxSEAC</v>
      </c>
      <c r="G12" s="208">
        <f>'DADOS BÁSICOS LICITAÇÃO'!G12</f>
        <v>220</v>
      </c>
      <c r="H12" s="218">
        <f>'DADOS BÁSICOS LICITAÇÃO'!H12</f>
        <v>1516.66</v>
      </c>
      <c r="I12" s="218">
        <f>'DADOS BÁSICOS LICITAÇÃO'!I12</f>
        <v>450</v>
      </c>
      <c r="J12" s="218">
        <f>'DADOS BÁSICOS LICITAÇÃO'!J12</f>
        <v>64</v>
      </c>
      <c r="K12" s="218">
        <f>'DADOS BÁSICOS LICITAÇÃO'!K12</f>
        <v>21</v>
      </c>
      <c r="L12" s="218">
        <f>'DADOS BÁSICOS LICITAÇÃO'!L12</f>
        <v>21</v>
      </c>
      <c r="M12" s="218">
        <f>'DADOS BÁSICOS LICITAÇÃO'!M12</f>
        <v>450</v>
      </c>
      <c r="N12" s="260">
        <f>'DADOS BÁSICOS LICITAÇÃO'!N12</f>
        <v>0.2</v>
      </c>
      <c r="O12" s="261">
        <f>'DADOS BÁSICOS LICITAÇÃO'!O12</f>
        <v>44</v>
      </c>
      <c r="P12" s="218">
        <f>'DADOS BÁSICOS LICITAÇÃO'!P12</f>
        <v>3.7</v>
      </c>
      <c r="Q12" s="262">
        <f>'DADOS BÁSICOS LICITAÇÃO'!Q12</f>
        <v>0.33710000000000001</v>
      </c>
      <c r="R12" s="262">
        <f>'DADOS BÁSICOS LICITAÇÃO'!R12</f>
        <v>0.33710000000000001</v>
      </c>
      <c r="S12" s="262">
        <f>'DADOS BÁSICOS LICITAÇÃO'!S12</f>
        <v>0.05</v>
      </c>
      <c r="T12" s="262">
        <f>'DADOS BÁSICOS LICITAÇÃO'!T12</f>
        <v>0.05</v>
      </c>
      <c r="U12" s="263">
        <f>'DADOS BÁSICOS LICITAÇÃO'!U12</f>
        <v>0.04</v>
      </c>
    </row>
    <row r="13" spans="1:21" ht="16.5">
      <c r="A13" s="257" t="str">
        <f>'DADOS BÁSICOS LICITAÇÃO'!A13</f>
        <v>Ponta Grossa/PR</v>
      </c>
      <c r="B13" s="22">
        <f>'DADOS BÁSICOS LICITAÇÃO'!B13</f>
        <v>4</v>
      </c>
      <c r="C13" s="211" t="str">
        <f>'DADOS BÁSICOS LICITAÇÃO'!C13</f>
        <v>Recepcionista</v>
      </c>
      <c r="D13" s="258" t="str">
        <f>'DADOS BÁSICOS LICITAÇÃO'!D13</f>
        <v>PR000326/2021</v>
      </c>
      <c r="E13" s="259">
        <f>'DADOS BÁSICOS LICITAÇÃO'!E13</f>
        <v>44228</v>
      </c>
      <c r="F13" s="258" t="str">
        <f>'DADOS BÁSICOS LICITAÇÃO'!F13</f>
        <v>SIEMACOxSEAC</v>
      </c>
      <c r="G13" s="208">
        <f>'DADOS BÁSICOS LICITAÇÃO'!G13</f>
        <v>220</v>
      </c>
      <c r="H13" s="218">
        <f>'DADOS BÁSICOS LICITAÇÃO'!H13</f>
        <v>1516.66</v>
      </c>
      <c r="I13" s="218">
        <f>'DADOS BÁSICOS LICITAÇÃO'!I13</f>
        <v>450</v>
      </c>
      <c r="J13" s="218">
        <f>'DADOS BÁSICOS LICITAÇÃO'!J13</f>
        <v>64</v>
      </c>
      <c r="K13" s="218">
        <f>'DADOS BÁSICOS LICITAÇÃO'!K13</f>
        <v>21</v>
      </c>
      <c r="L13" s="218">
        <f>'DADOS BÁSICOS LICITAÇÃO'!L13</f>
        <v>21</v>
      </c>
      <c r="M13" s="218">
        <f>'DADOS BÁSICOS LICITAÇÃO'!M13</f>
        <v>450</v>
      </c>
      <c r="N13" s="260">
        <f>'DADOS BÁSICOS LICITAÇÃO'!N13</f>
        <v>0.2</v>
      </c>
      <c r="O13" s="261">
        <f>'DADOS BÁSICOS LICITAÇÃO'!O13</f>
        <v>44</v>
      </c>
      <c r="P13" s="218">
        <f>'DADOS BÁSICOS LICITAÇÃO'!P13</f>
        <v>4.3</v>
      </c>
      <c r="Q13" s="262">
        <f>'DADOS BÁSICOS LICITAÇÃO'!Q13</f>
        <v>0.33710000000000001</v>
      </c>
      <c r="R13" s="262">
        <f>'DADOS BÁSICOS LICITAÇÃO'!R13</f>
        <v>0.33710000000000001</v>
      </c>
      <c r="S13" s="262">
        <f>'DADOS BÁSICOS LICITAÇÃO'!S13</f>
        <v>0.05</v>
      </c>
      <c r="T13" s="262">
        <f>'DADOS BÁSICOS LICITAÇÃO'!T13</f>
        <v>0.05</v>
      </c>
      <c r="U13" s="263">
        <f>'DADOS BÁSICOS LICITAÇÃO'!U13</f>
        <v>0.05</v>
      </c>
    </row>
    <row r="14" spans="1:21" ht="16.5">
      <c r="A14" s="257" t="str">
        <f>'DADOS BÁSICOS LICITAÇÃO'!A14</f>
        <v>Curitiba/PR</v>
      </c>
      <c r="B14" s="22">
        <f>'DADOS BÁSICOS LICITAÇÃO'!B14</f>
        <v>2</v>
      </c>
      <c r="C14" s="211" t="str">
        <f>'DADOS BÁSICOS LICITAÇÃO'!C14</f>
        <v>Telefonista</v>
      </c>
      <c r="D14" s="258" t="str">
        <f>'DADOS BÁSICOS LICITAÇÃO'!D14</f>
        <v>PR000326/2021</v>
      </c>
      <c r="E14" s="259">
        <f>'DADOS BÁSICOS LICITAÇÃO'!E14</f>
        <v>44228</v>
      </c>
      <c r="F14" s="258" t="str">
        <f>'DADOS BÁSICOS LICITAÇÃO'!F14</f>
        <v>SIEMACOxSEAC</v>
      </c>
      <c r="G14" s="208">
        <f>'DADOS BÁSICOS LICITAÇÃO'!G14</f>
        <v>180</v>
      </c>
      <c r="H14" s="218">
        <f>'DADOS BÁSICOS LICITAÇÃO'!H14</f>
        <v>1415.56</v>
      </c>
      <c r="I14" s="218">
        <f>'DADOS BÁSICOS LICITAÇÃO'!I14</f>
        <v>450</v>
      </c>
      <c r="J14" s="218">
        <f>'DADOS BÁSICOS LICITAÇÃO'!J14</f>
        <v>64</v>
      </c>
      <c r="K14" s="218">
        <f>'DADOS BÁSICOS LICITAÇÃO'!K14</f>
        <v>21</v>
      </c>
      <c r="L14" s="218">
        <f>'DADOS BÁSICOS LICITAÇÃO'!L14</f>
        <v>21</v>
      </c>
      <c r="M14" s="218">
        <f>'DADOS BÁSICOS LICITAÇÃO'!M14</f>
        <v>450</v>
      </c>
      <c r="N14" s="260">
        <f>'DADOS BÁSICOS LICITAÇÃO'!N14</f>
        <v>0.2</v>
      </c>
      <c r="O14" s="261">
        <f>'DADOS BÁSICOS LICITAÇÃO'!O14</f>
        <v>44</v>
      </c>
      <c r="P14" s="218">
        <f>'DADOS BÁSICOS LICITAÇÃO'!P14</f>
        <v>4.5</v>
      </c>
      <c r="Q14" s="262">
        <f>'DADOS BÁSICOS LICITAÇÃO'!Q14</f>
        <v>0.33710000000000001</v>
      </c>
      <c r="R14" s="262">
        <f>'DADOS BÁSICOS LICITAÇÃO'!R14</f>
        <v>0.33710000000000001</v>
      </c>
      <c r="S14" s="262">
        <f>'DADOS BÁSICOS LICITAÇÃO'!S14</f>
        <v>0.05</v>
      </c>
      <c r="T14" s="262">
        <f>'DADOS BÁSICOS LICITAÇÃO'!T14</f>
        <v>0.05</v>
      </c>
      <c r="U14" s="263">
        <f>'DADOS BÁSICOS LICITAÇÃO'!U14</f>
        <v>0.05</v>
      </c>
    </row>
    <row r="15" spans="1:21" ht="16.5">
      <c r="A15" s="196"/>
      <c r="B15" s="197"/>
      <c r="C15" s="198"/>
      <c r="D15" s="198"/>
      <c r="E15" s="198"/>
      <c r="F15" s="199"/>
      <c r="G15" s="198"/>
      <c r="H15" s="29"/>
      <c r="I15" s="200"/>
      <c r="J15" s="200"/>
      <c r="K15" s="200"/>
      <c r="L15" s="200"/>
      <c r="M15" s="200"/>
      <c r="N15" s="200"/>
      <c r="O15" s="201"/>
      <c r="P15" s="29"/>
      <c r="Q15" s="202"/>
      <c r="R15" s="201"/>
      <c r="S15" s="201"/>
      <c r="T15" s="32"/>
      <c r="U15" s="32"/>
    </row>
    <row r="16" spans="1:21" ht="66">
      <c r="A16" s="264" t="s">
        <v>11</v>
      </c>
      <c r="B16" s="264" t="s">
        <v>12</v>
      </c>
      <c r="C16" s="265" t="s">
        <v>236</v>
      </c>
      <c r="D16" s="265" t="s">
        <v>196</v>
      </c>
      <c r="E16" s="265" t="s">
        <v>238</v>
      </c>
      <c r="F16" s="265" t="s">
        <v>237</v>
      </c>
      <c r="G16" s="198"/>
      <c r="H16" s="29"/>
      <c r="I16" s="200"/>
      <c r="J16" s="200"/>
      <c r="K16" s="200"/>
      <c r="L16" s="200"/>
      <c r="M16" s="200"/>
      <c r="N16" s="200"/>
      <c r="O16" s="201"/>
      <c r="P16" s="29"/>
      <c r="Q16" s="202"/>
      <c r="R16" s="201"/>
      <c r="S16" s="201"/>
      <c r="T16" s="32"/>
      <c r="U16" s="32"/>
    </row>
    <row r="17" spans="1:21" ht="16.5">
      <c r="A17" s="23" t="str">
        <f>'DADOS BÁSICOS LICITAÇÃO'!A17</f>
        <v>4221-05</v>
      </c>
      <c r="B17" s="23" t="str">
        <f>'DADOS BÁSICOS LICITAÇÃO'!B17</f>
        <v>Recepcionista</v>
      </c>
      <c r="C17" s="195">
        <f>'DADOS BÁSICOS LICITAÇÃO'!C17</f>
        <v>200</v>
      </c>
      <c r="D17" s="195">
        <f>'DADOS BÁSICOS LICITAÇÃO'!D17</f>
        <v>1</v>
      </c>
      <c r="E17" s="403">
        <f>'DADOS BÁSICOS LICITAÇÃO'!E17</f>
        <v>12</v>
      </c>
      <c r="F17" s="403">
        <f>'DADOS BÁSICOS LICITAÇÃO'!F17</f>
        <v>22</v>
      </c>
      <c r="G17" s="198"/>
      <c r="H17" s="29"/>
      <c r="I17" s="200"/>
      <c r="J17" s="200"/>
      <c r="K17" s="200"/>
      <c r="L17" s="200"/>
      <c r="M17" s="200"/>
      <c r="N17" s="200"/>
      <c r="O17" s="201"/>
      <c r="P17" s="29"/>
      <c r="Q17" s="202"/>
      <c r="R17" s="201"/>
      <c r="S17" s="201"/>
      <c r="T17" s="32"/>
      <c r="U17" s="32"/>
    </row>
    <row r="18" spans="1:21" ht="16.5">
      <c r="A18" s="23" t="str">
        <f>'DADOS BÁSICOS LICITAÇÃO'!A18</f>
        <v>4222-05</v>
      </c>
      <c r="B18" s="23" t="str">
        <f>'DADOS BÁSICOS LICITAÇÃO'!B18</f>
        <v>Telefonista</v>
      </c>
      <c r="C18" s="195">
        <f>'DADOS BÁSICOS LICITAÇÃO'!C18</f>
        <v>150</v>
      </c>
      <c r="D18" s="195">
        <f>'DADOS BÁSICOS LICITAÇÃO'!D18</f>
        <v>1</v>
      </c>
      <c r="E18" s="404">
        <f>'DADOS BÁSICOS LICITAÇÃO'!E18</f>
        <v>0</v>
      </c>
      <c r="F18" s="404">
        <f>'DADOS BÁSICOS LICITAÇÃO'!F18</f>
        <v>0</v>
      </c>
      <c r="G18" s="198"/>
      <c r="H18" s="29"/>
      <c r="I18" s="200"/>
      <c r="J18" s="200"/>
      <c r="K18" s="200"/>
      <c r="L18" s="200"/>
      <c r="M18" s="200"/>
      <c r="N18" s="200"/>
      <c r="O18" s="201"/>
      <c r="P18" s="29"/>
      <c r="Q18" s="202"/>
      <c r="R18" s="201"/>
      <c r="S18" s="201"/>
      <c r="T18" s="32"/>
      <c r="U18" s="32"/>
    </row>
    <row r="19" spans="1:21" ht="16.5">
      <c r="A19" s="196"/>
      <c r="B19" s="197"/>
      <c r="C19" s="198"/>
      <c r="D19" s="198"/>
      <c r="E19" s="198"/>
      <c r="F19" s="199"/>
      <c r="G19" s="198"/>
      <c r="H19" s="29"/>
      <c r="I19" s="200"/>
      <c r="J19" s="200"/>
      <c r="K19" s="200"/>
      <c r="L19" s="200"/>
      <c r="M19" s="200"/>
      <c r="N19" s="200"/>
      <c r="O19" s="201"/>
      <c r="P19" s="29"/>
      <c r="Q19" s="202"/>
      <c r="R19" s="201"/>
      <c r="S19" s="201"/>
      <c r="T19" s="32"/>
      <c r="U19" s="32"/>
    </row>
    <row r="20" spans="1:21" ht="16.5">
      <c r="A20" s="355" t="s">
        <v>175</v>
      </c>
      <c r="B20" s="355"/>
      <c r="C20" s="355"/>
      <c r="D20" s="205"/>
      <c r="I20" s="200"/>
      <c r="J20" s="200"/>
      <c r="K20" s="200"/>
      <c r="L20" s="200"/>
      <c r="M20" s="200"/>
      <c r="N20" s="200"/>
      <c r="O20" s="201"/>
      <c r="P20" s="29"/>
      <c r="Q20" s="202"/>
      <c r="R20" s="201"/>
      <c r="S20" s="201"/>
      <c r="T20" s="32"/>
      <c r="U20" s="32"/>
    </row>
    <row r="21" spans="1:21" ht="33">
      <c r="A21" s="266" t="s">
        <v>2</v>
      </c>
      <c r="B21" s="267" t="s">
        <v>176</v>
      </c>
      <c r="C21" s="267" t="s">
        <v>240</v>
      </c>
      <c r="I21" s="200"/>
      <c r="J21" s="200"/>
      <c r="K21" s="200"/>
      <c r="L21" s="200"/>
      <c r="M21" s="200"/>
      <c r="N21" s="200"/>
      <c r="O21" s="201"/>
      <c r="P21" s="29"/>
      <c r="Q21" s="202"/>
      <c r="R21" s="201"/>
      <c r="S21" s="201"/>
      <c r="T21" s="32"/>
      <c r="U21" s="32"/>
    </row>
    <row r="22" spans="1:21" ht="17.5">
      <c r="A22" s="23" t="str">
        <f>'DADOS BÁSICOS LICITAÇÃO'!A22</f>
        <v xml:space="preserve">Hora Extra 50% </v>
      </c>
      <c r="B22" s="208">
        <f>'DADOS BÁSICOS LICITAÇÃO'!B22</f>
        <v>90</v>
      </c>
      <c r="C22" s="209">
        <f>'DADOS BÁSICOS LICITAÇÃO'!C22</f>
        <v>1.05</v>
      </c>
      <c r="I22" s="200"/>
      <c r="J22" s="200"/>
      <c r="K22" s="200"/>
      <c r="L22" s="200"/>
      <c r="M22" s="200"/>
      <c r="N22" s="200"/>
      <c r="O22" s="201"/>
      <c r="P22" s="29"/>
      <c r="Q22" s="202"/>
      <c r="R22" s="201"/>
      <c r="S22" s="201"/>
      <c r="T22" s="32"/>
      <c r="U22" s="32"/>
    </row>
    <row r="23" spans="1:21" ht="16.5">
      <c r="A23" s="196"/>
      <c r="B23" s="197"/>
      <c r="C23" s="198"/>
      <c r="D23" s="198"/>
      <c r="E23" s="198"/>
      <c r="F23" s="199"/>
      <c r="G23" s="198"/>
      <c r="H23" s="29"/>
      <c r="I23" s="200"/>
      <c r="J23" s="200"/>
      <c r="K23" s="200"/>
      <c r="L23" s="200"/>
      <c r="M23" s="200"/>
      <c r="N23" s="200"/>
      <c r="O23" s="201"/>
      <c r="P23" s="29"/>
      <c r="Q23" s="202"/>
      <c r="R23" s="201"/>
      <c r="S23" s="201"/>
      <c r="T23" s="32"/>
      <c r="U23" s="32"/>
    </row>
    <row r="24" spans="1:21" ht="21">
      <c r="A24" s="356"/>
      <c r="B24" s="355" t="s">
        <v>249</v>
      </c>
      <c r="C24" s="355"/>
      <c r="D24" s="205"/>
    </row>
    <row r="25" spans="1:21" ht="14.25" customHeight="1">
      <c r="A25" s="357"/>
      <c r="B25" s="405" t="str">
        <f>'DADOS BÁSICOS LICITAÇÃO'!B25</f>
        <v>LUCRO PRESUMIDO</v>
      </c>
      <c r="C25" s="406"/>
      <c r="D25" s="210"/>
      <c r="G25" s="210"/>
    </row>
    <row r="26" spans="1:21" ht="16.5">
      <c r="A26" s="264" t="s">
        <v>250</v>
      </c>
      <c r="B26" s="264" t="s">
        <v>28</v>
      </c>
      <c r="C26" s="264" t="s">
        <v>29</v>
      </c>
    </row>
    <row r="27" spans="1:21" ht="16.5">
      <c r="A27" s="211" t="str">
        <f>'DADOS BÁSICOS LICITAÇÃO'!A27</f>
        <v>PIS</v>
      </c>
      <c r="B27" s="212">
        <f>'DADOS BÁSICOS LICITAÇÃO'!B27</f>
        <v>6.4999999999999997E-3</v>
      </c>
      <c r="C27" s="213">
        <f>'DADOS BÁSICOS LICITAÇÃO'!C27</f>
        <v>1.6500000000000001E-2</v>
      </c>
    </row>
    <row r="28" spans="1:21" ht="16.5">
      <c r="A28" s="211" t="str">
        <f>'DADOS BÁSICOS LICITAÇÃO'!A28</f>
        <v>COFINS</v>
      </c>
      <c r="B28" s="212">
        <f>'DADOS BÁSICOS LICITAÇÃO'!B28</f>
        <v>0.03</v>
      </c>
      <c r="C28" s="213">
        <f>'DADOS BÁSICOS LICITAÇÃO'!C28</f>
        <v>7.5999999999999998E-2</v>
      </c>
    </row>
    <row r="29" spans="1:21" ht="16.5">
      <c r="A29" s="211" t="str">
        <f>'DADOS BÁSICOS LICITAÇÃO'!A29</f>
        <v>INSS</v>
      </c>
      <c r="B29" s="212">
        <f>'DADOS BÁSICOS LICITAÇÃO'!B29</f>
        <v>0.2</v>
      </c>
      <c r="C29" s="212">
        <f>'DADOS BÁSICOS LICITAÇÃO'!C29</f>
        <v>0.2</v>
      </c>
    </row>
    <row r="30" spans="1:21" ht="16.5">
      <c r="A30" s="211" t="str">
        <f>'DADOS BÁSICOS LICITAÇÃO'!A30</f>
        <v>SALARIO EDUCAÇÃO</v>
      </c>
      <c r="B30" s="212">
        <f>'DADOS BÁSICOS LICITAÇÃO'!B30</f>
        <v>2.5000000000000001E-2</v>
      </c>
      <c r="C30" s="212">
        <f>'DADOS BÁSICOS LICITAÇÃO'!C30</f>
        <v>2.5000000000000001E-2</v>
      </c>
    </row>
    <row r="31" spans="1:21" ht="16.5">
      <c r="A31" s="211" t="str">
        <f>'DADOS BÁSICOS LICITAÇÃO'!A31</f>
        <v>SAT (RAT X FAP)</v>
      </c>
      <c r="B31" s="213">
        <f>'DADOS BÁSICOS LICITAÇÃO'!B31</f>
        <v>0.03</v>
      </c>
      <c r="C31" s="213">
        <f>'DADOS BÁSICOS LICITAÇÃO'!C31</f>
        <v>0.03</v>
      </c>
      <c r="I31" s="214"/>
      <c r="J31" s="214"/>
      <c r="K31" s="214"/>
    </row>
    <row r="32" spans="1:21" ht="16.5">
      <c r="A32" s="211" t="str">
        <f>'DADOS BÁSICOS LICITAÇÃO'!A32</f>
        <v>SESC ou SESI</v>
      </c>
      <c r="B32" s="212">
        <f>'DADOS BÁSICOS LICITAÇÃO'!B32</f>
        <v>1.4999999999999999E-2</v>
      </c>
      <c r="C32" s="212">
        <f>'DADOS BÁSICOS LICITAÇÃO'!C32</f>
        <v>1.4999999999999999E-2</v>
      </c>
    </row>
    <row r="33" spans="1:11" ht="16.5">
      <c r="A33" s="211" t="str">
        <f>'DADOS BÁSICOS LICITAÇÃO'!A33</f>
        <v>SENAI ou SENAC</v>
      </c>
      <c r="B33" s="212">
        <f>'DADOS BÁSICOS LICITAÇÃO'!B33</f>
        <v>0.01</v>
      </c>
      <c r="C33" s="212">
        <f>'DADOS BÁSICOS LICITAÇÃO'!C33</f>
        <v>0.01</v>
      </c>
      <c r="I33" s="215"/>
      <c r="J33" s="215"/>
      <c r="K33" s="216"/>
    </row>
    <row r="34" spans="1:11" ht="16.5">
      <c r="A34" s="211" t="str">
        <f>'DADOS BÁSICOS LICITAÇÃO'!A34</f>
        <v>SEBRAE</v>
      </c>
      <c r="B34" s="212">
        <f>'DADOS BÁSICOS LICITAÇÃO'!B34</f>
        <v>6.0000000000000001E-3</v>
      </c>
      <c r="C34" s="212">
        <f>'DADOS BÁSICOS LICITAÇÃO'!C34</f>
        <v>6.0000000000000001E-3</v>
      </c>
      <c r="I34" s="215"/>
      <c r="J34" s="215"/>
      <c r="K34" s="217"/>
    </row>
    <row r="35" spans="1:11" ht="16.5">
      <c r="A35" s="211" t="str">
        <f>'DADOS BÁSICOS LICITAÇÃO'!A35</f>
        <v>INCRA</v>
      </c>
      <c r="B35" s="212">
        <f>'DADOS BÁSICOS LICITAÇÃO'!B35</f>
        <v>2E-3</v>
      </c>
      <c r="C35" s="212">
        <f>'DADOS BÁSICOS LICITAÇÃO'!C35</f>
        <v>2E-3</v>
      </c>
    </row>
    <row r="36" spans="1:11" ht="16.5">
      <c r="A36" s="211" t="str">
        <f>'DADOS BÁSICOS LICITAÇÃO'!A36</f>
        <v>FGTS</v>
      </c>
      <c r="B36" s="212">
        <f>'DADOS BÁSICOS LICITAÇÃO'!B36</f>
        <v>0.08</v>
      </c>
      <c r="C36" s="212">
        <f>'DADOS BÁSICOS LICITAÇÃO'!C36</f>
        <v>0.08</v>
      </c>
    </row>
    <row r="38" spans="1:11" ht="17.5">
      <c r="A38" s="355" t="s">
        <v>252</v>
      </c>
      <c r="B38" s="355"/>
      <c r="C38" s="355"/>
      <c r="D38" s="355"/>
    </row>
    <row r="39" spans="1:11" ht="33">
      <c r="A39" s="266" t="s">
        <v>2</v>
      </c>
      <c r="B39" s="267" t="s">
        <v>179</v>
      </c>
      <c r="C39" s="266" t="s">
        <v>41</v>
      </c>
      <c r="D39" s="266" t="s">
        <v>42</v>
      </c>
    </row>
    <row r="40" spans="1:11" ht="17.5">
      <c r="A40" s="208" t="str">
        <f>'DADOS BÁSICOS LICITAÇÃO'!A40</f>
        <v>Camisa Polo</v>
      </c>
      <c r="B40" s="208">
        <f>3*(SUM($B$8:$B$14))</f>
        <v>264</v>
      </c>
      <c r="C40" s="218">
        <f>'DADOS BÁSICOS LICITAÇÃO'!C40</f>
        <v>36.97</v>
      </c>
      <c r="D40" s="219">
        <f>C40*B40</f>
        <v>9760.08</v>
      </c>
    </row>
    <row r="41" spans="1:11" ht="17.5">
      <c r="A41" s="208" t="str">
        <f>'DADOS BÁSICOS LICITAÇÃO'!A41</f>
        <v>Blusas de lã</v>
      </c>
      <c r="B41" s="208">
        <f>1*(SUM($B$8:$B$14))</f>
        <v>88</v>
      </c>
      <c r="C41" s="218">
        <f>'DADOS BÁSICOS LICITAÇÃO'!C41</f>
        <v>82.25</v>
      </c>
      <c r="D41" s="219">
        <f t="shared" ref="D41:D43" si="0">C41*B41</f>
        <v>7238</v>
      </c>
    </row>
    <row r="42" spans="1:11" ht="17.5">
      <c r="A42" s="208" t="str">
        <f>'DADOS BÁSICOS LICITAÇÃO'!A42</f>
        <v>Jaquetas de Nylon</v>
      </c>
      <c r="B42" s="208">
        <f>1*(SUM($B$8:$B$14))</f>
        <v>88</v>
      </c>
      <c r="C42" s="218">
        <f>'DADOS BÁSICOS LICITAÇÃO'!C42</f>
        <v>123.38</v>
      </c>
      <c r="D42" s="219">
        <f t="shared" si="0"/>
        <v>10857.44</v>
      </c>
    </row>
    <row r="43" spans="1:11" ht="17.5">
      <c r="A43" s="208" t="str">
        <f>'DADOS BÁSICOS LICITAÇÃO'!A43</f>
        <v>Calça/Saia Jeans</v>
      </c>
      <c r="B43" s="208">
        <f>2*(SUM($B$8:$B$14))</f>
        <v>176</v>
      </c>
      <c r="C43" s="218">
        <f>'DADOS BÁSICOS LICITAÇÃO'!C43</f>
        <v>55.39</v>
      </c>
      <c r="D43" s="219">
        <f t="shared" si="0"/>
        <v>9748.64</v>
      </c>
    </row>
    <row r="44" spans="1:11" ht="17.5">
      <c r="A44" s="354" t="s">
        <v>262</v>
      </c>
      <c r="B44" s="354"/>
      <c r="C44" s="354"/>
      <c r="D44" s="219">
        <f>SUM(D40:D43)</f>
        <v>37604.160000000003</v>
      </c>
    </row>
    <row r="45" spans="1:11" ht="17.5">
      <c r="A45" s="354" t="s">
        <v>263</v>
      </c>
      <c r="B45" s="354"/>
      <c r="C45" s="354"/>
      <c r="D45" s="220">
        <f>D44/SUM(B8:B14)</f>
        <v>427.32</v>
      </c>
    </row>
    <row r="46" spans="1:11" ht="17.5">
      <c r="A46" s="354" t="s">
        <v>264</v>
      </c>
      <c r="B46" s="354"/>
      <c r="C46" s="354"/>
      <c r="D46" s="220">
        <f>D45/12</f>
        <v>35.61</v>
      </c>
    </row>
    <row r="48" spans="1:11" ht="16.5">
      <c r="A48" s="355" t="s">
        <v>254</v>
      </c>
      <c r="B48" s="355"/>
      <c r="C48" s="355"/>
      <c r="D48" s="355"/>
    </row>
    <row r="49" spans="1:8" ht="33">
      <c r="A49" s="268" t="s">
        <v>2</v>
      </c>
      <c r="B49" s="269" t="s">
        <v>45</v>
      </c>
      <c r="C49" s="268" t="s">
        <v>41</v>
      </c>
      <c r="D49" s="268" t="s">
        <v>46</v>
      </c>
    </row>
    <row r="50" spans="1:8" ht="16.5">
      <c r="A50" s="218">
        <f>'DADOS BÁSICOS LICITAÇÃO'!A$50</f>
        <v>0</v>
      </c>
      <c r="B50" s="218">
        <f>'DADOS BÁSICOS LICITAÇÃO'!B$50</f>
        <v>0</v>
      </c>
      <c r="C50" s="218">
        <f>'DADOS BÁSICOS LICITAÇÃO'!C$50</f>
        <v>0</v>
      </c>
      <c r="D50" s="218">
        <f>'DADOS BÁSICOS LICITAÇÃO'!D$50</f>
        <v>0</v>
      </c>
    </row>
    <row r="51" spans="1:8" ht="16.5">
      <c r="A51" s="27"/>
      <c r="B51" s="27"/>
      <c r="C51" s="221"/>
      <c r="D51" s="221"/>
    </row>
    <row r="52" spans="1:8" ht="16.5">
      <c r="A52" s="355" t="s">
        <v>253</v>
      </c>
      <c r="B52" s="355"/>
      <c r="C52" s="355"/>
      <c r="D52" s="355"/>
      <c r="E52" s="355"/>
      <c r="F52" s="355"/>
      <c r="G52" s="355"/>
    </row>
    <row r="53" spans="1:8" s="33" customFormat="1" ht="33">
      <c r="A53" s="268" t="s">
        <v>2</v>
      </c>
      <c r="B53" s="269" t="s">
        <v>48</v>
      </c>
      <c r="C53" s="269" t="s">
        <v>49</v>
      </c>
      <c r="D53" s="268" t="s">
        <v>41</v>
      </c>
      <c r="E53" s="268" t="s">
        <v>46</v>
      </c>
      <c r="F53" s="268" t="s">
        <v>50</v>
      </c>
      <c r="G53" s="269" t="s">
        <v>51</v>
      </c>
    </row>
    <row r="54" spans="1:8" ht="16.5">
      <c r="A54" s="208" t="s">
        <v>52</v>
      </c>
      <c r="B54" s="208">
        <v>1</v>
      </c>
      <c r="C54" s="208">
        <v>7</v>
      </c>
      <c r="D54" s="218">
        <f>'DADOS BÁSICOS LICITAÇÃO'!D54</f>
        <v>1657.95</v>
      </c>
      <c r="E54" s="222">
        <f>D54*C54*B54</f>
        <v>11605.65</v>
      </c>
      <c r="F54" s="222">
        <f>E54*10%</f>
        <v>1160.57</v>
      </c>
      <c r="G54" s="222">
        <f>F54/12</f>
        <v>96.71</v>
      </c>
    </row>
    <row r="58" spans="1:8" ht="16.5">
      <c r="A58" s="364" t="s">
        <v>255</v>
      </c>
      <c r="B58" s="364"/>
      <c r="C58" s="364"/>
      <c r="D58" s="364"/>
      <c r="E58" s="364"/>
      <c r="F58" s="364"/>
      <c r="G58" s="365"/>
      <c r="H58" s="223" t="s">
        <v>239</v>
      </c>
    </row>
    <row r="59" spans="1:8" ht="16.5" customHeight="1">
      <c r="A59" s="154" t="s">
        <v>58</v>
      </c>
      <c r="B59" s="407" t="s">
        <v>135</v>
      </c>
      <c r="C59" s="407"/>
      <c r="D59" s="407"/>
      <c r="E59" s="407"/>
      <c r="F59" s="407"/>
      <c r="G59" s="407"/>
      <c r="H59" s="270">
        <f>SUM(H60:H67)</f>
        <v>4.8734000000000002</v>
      </c>
    </row>
    <row r="60" spans="1:8" ht="16.5">
      <c r="A60" s="140" t="s">
        <v>219</v>
      </c>
      <c r="B60" s="300" t="s">
        <v>211</v>
      </c>
      <c r="C60" s="300"/>
      <c r="D60" s="300"/>
      <c r="E60" s="300"/>
      <c r="F60" s="300"/>
      <c r="G60" s="300"/>
      <c r="H60" s="224">
        <f>'DADOS BÁSICOS LICITAÇÃO'!H60</f>
        <v>1</v>
      </c>
    </row>
    <row r="61" spans="1:8" ht="16.5" customHeight="1">
      <c r="A61" s="140" t="s">
        <v>221</v>
      </c>
      <c r="B61" s="300" t="s">
        <v>212</v>
      </c>
      <c r="C61" s="300"/>
      <c r="D61" s="300"/>
      <c r="E61" s="300"/>
      <c r="F61" s="300"/>
      <c r="G61" s="300"/>
      <c r="H61" s="224">
        <f>'DADOS BÁSICOS LICITAÇÃO'!H61</f>
        <v>3.4929999999999999</v>
      </c>
    </row>
    <row r="62" spans="1:8" ht="16.5" customHeight="1">
      <c r="A62" s="140" t="s">
        <v>222</v>
      </c>
      <c r="B62" s="300" t="s">
        <v>213</v>
      </c>
      <c r="C62" s="300"/>
      <c r="D62" s="300"/>
      <c r="E62" s="300"/>
      <c r="F62" s="300"/>
      <c r="G62" s="300"/>
      <c r="H62" s="224">
        <f>'DADOS BÁSICOS LICITAÇÃO'!H62</f>
        <v>0.26879999999999998</v>
      </c>
    </row>
    <row r="63" spans="1:8" ht="16.5">
      <c r="A63" s="140" t="s">
        <v>228</v>
      </c>
      <c r="B63" s="300" t="s">
        <v>214</v>
      </c>
      <c r="C63" s="300"/>
      <c r="D63" s="300"/>
      <c r="E63" s="300"/>
      <c r="F63" s="300"/>
      <c r="G63" s="300"/>
      <c r="H63" s="224">
        <f>'DADOS BÁSICOS LICITAÇÃO'!H63</f>
        <v>4.2599999999999999E-2</v>
      </c>
    </row>
    <row r="64" spans="1:8" ht="16.5">
      <c r="A64" s="140" t="s">
        <v>229</v>
      </c>
      <c r="B64" s="300" t="s">
        <v>215</v>
      </c>
      <c r="C64" s="300"/>
      <c r="D64" s="300"/>
      <c r="E64" s="300"/>
      <c r="F64" s="300"/>
      <c r="G64" s="300"/>
      <c r="H64" s="224">
        <f>'DADOS BÁSICOS LICITAÇÃO'!H64</f>
        <v>3.5400000000000001E-2</v>
      </c>
    </row>
    <row r="65" spans="1:8" ht="16.5">
      <c r="A65" s="140" t="s">
        <v>230</v>
      </c>
      <c r="B65" s="300" t="s">
        <v>216</v>
      </c>
      <c r="C65" s="300"/>
      <c r="D65" s="300"/>
      <c r="E65" s="300"/>
      <c r="F65" s="300"/>
      <c r="G65" s="300"/>
      <c r="H65" s="224">
        <f>'DADOS BÁSICOS LICITAÇÃO'!H65</f>
        <v>0.02</v>
      </c>
    </row>
    <row r="66" spans="1:8" ht="16.5">
      <c r="A66" s="140" t="s">
        <v>231</v>
      </c>
      <c r="B66" s="300" t="s">
        <v>217</v>
      </c>
      <c r="C66" s="300"/>
      <c r="D66" s="300"/>
      <c r="E66" s="300"/>
      <c r="F66" s="300"/>
      <c r="G66" s="300"/>
      <c r="H66" s="224">
        <f>'DADOS BÁSICOS LICITAÇÃO'!H66</f>
        <v>4.0000000000000001E-3</v>
      </c>
    </row>
    <row r="67" spans="1:8" ht="16.5">
      <c r="A67" s="140" t="s">
        <v>232</v>
      </c>
      <c r="B67" s="300" t="s">
        <v>218</v>
      </c>
      <c r="C67" s="300"/>
      <c r="D67" s="300"/>
      <c r="E67" s="300"/>
      <c r="F67" s="300"/>
      <c r="G67" s="300"/>
      <c r="H67" s="224">
        <f>'DADOS BÁSICOS LICITAÇÃO'!H67</f>
        <v>9.5999999999999992E-3</v>
      </c>
    </row>
    <row r="68" spans="1:8" ht="16.5" customHeight="1">
      <c r="A68" s="69" t="s">
        <v>60</v>
      </c>
      <c r="B68" s="301" t="s">
        <v>136</v>
      </c>
      <c r="C68" s="301"/>
      <c r="D68" s="301"/>
      <c r="E68" s="301"/>
      <c r="F68" s="301"/>
      <c r="G68" s="301"/>
      <c r="H68" s="224">
        <f>'DADOS BÁSICOS LICITAÇÃO'!H68</f>
        <v>0.19980000000000001</v>
      </c>
    </row>
    <row r="69" spans="1:8" ht="16.5" customHeight="1">
      <c r="A69" s="69" t="s">
        <v>62</v>
      </c>
      <c r="B69" s="301" t="s">
        <v>137</v>
      </c>
      <c r="C69" s="301"/>
      <c r="D69" s="301"/>
      <c r="E69" s="301"/>
      <c r="F69" s="301"/>
      <c r="G69" s="301"/>
      <c r="H69" s="224">
        <f>'DADOS BÁSICOS LICITAÇÃO'!H69</f>
        <v>0.96619999999999995</v>
      </c>
    </row>
    <row r="70" spans="1:8" ht="16.5" customHeight="1">
      <c r="A70" s="69" t="s">
        <v>64</v>
      </c>
      <c r="B70" s="301" t="s">
        <v>138</v>
      </c>
      <c r="C70" s="301"/>
      <c r="D70" s="301"/>
      <c r="E70" s="301"/>
      <c r="F70" s="301"/>
      <c r="G70" s="301"/>
      <c r="H70" s="224">
        <f>'DADOS BÁSICOS LICITAÇÃO'!H70</f>
        <v>2.4771999999999998</v>
      </c>
    </row>
    <row r="71" spans="1:8" ht="16.5" customHeight="1">
      <c r="A71" s="41" t="s">
        <v>66</v>
      </c>
      <c r="B71" s="301" t="s">
        <v>139</v>
      </c>
      <c r="C71" s="301"/>
      <c r="D71" s="301"/>
      <c r="E71" s="301"/>
      <c r="F71" s="301"/>
      <c r="G71" s="301"/>
      <c r="H71" s="224">
        <f>'DADOS BÁSICOS LICITAÇÃO'!H71</f>
        <v>0</v>
      </c>
    </row>
  </sheetData>
  <sheetProtection algorithmName="SHA-512" hashValue="fTLZ4K9GCRktOXt8tklfFGkXHAVi79LfKPilePxuitMqgx1aKOUD14jIVSAuSWpfGryLVv8shbpaPSJRSV27nA==" saltValue="HWQNSpFyS8RZlg/JhoKrkQ==" spinCount="100000" sheet="1" objects="1" scenarios="1"/>
  <mergeCells count="28">
    <mergeCell ref="B71:G71"/>
    <mergeCell ref="B65:G65"/>
    <mergeCell ref="B66:G66"/>
    <mergeCell ref="B67:G67"/>
    <mergeCell ref="B68:G68"/>
    <mergeCell ref="B69:G69"/>
    <mergeCell ref="B70:G70"/>
    <mergeCell ref="A1:U1"/>
    <mergeCell ref="A2:U2"/>
    <mergeCell ref="A24:A25"/>
    <mergeCell ref="B24:C24"/>
    <mergeCell ref="B64:G64"/>
    <mergeCell ref="A45:C45"/>
    <mergeCell ref="A46:C46"/>
    <mergeCell ref="A48:D48"/>
    <mergeCell ref="A52:G52"/>
    <mergeCell ref="A20:C20"/>
    <mergeCell ref="A58:G58"/>
    <mergeCell ref="B59:G59"/>
    <mergeCell ref="B60:G60"/>
    <mergeCell ref="B61:G61"/>
    <mergeCell ref="B62:G62"/>
    <mergeCell ref="B63:G63"/>
    <mergeCell ref="A44:C44"/>
    <mergeCell ref="E17:E18"/>
    <mergeCell ref="F17:F18"/>
    <mergeCell ref="B25:C25"/>
    <mergeCell ref="A38:D38"/>
  </mergeCells>
  <dataValidations count="1">
    <dataValidation type="list" allowBlank="1" showInputMessage="1" showErrorMessage="1" sqref="B25" xr:uid="{616C850C-875C-4B13-AA88-4BD168A5C434}">
      <formula1>$B$26:$C$26</formula1>
    </dataValidation>
  </dataValidations>
  <pageMargins left="0.511811024" right="0.511811024" top="0.78740157500000008" bottom="0.78740157500000008" header="0.31496062000000008" footer="0.31496062000000008"/>
  <pageSetup paperSize="9" scale="32" fitToWidth="0" fitToHeight="0" orientation="portrait" r:id="rId1"/>
  <colBreaks count="1" manualBreakCount="1">
    <brk id="14"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6157C-C0D9-4B99-9DDE-7A09AE23D6F2}">
  <dimension ref="A1:T273"/>
  <sheetViews>
    <sheetView topLeftCell="A127" zoomScale="90" zoomScaleNormal="90" workbookViewId="0">
      <selection activeCell="K157" sqref="K157"/>
    </sheetView>
  </sheetViews>
  <sheetFormatPr defaultColWidth="11.7265625" defaultRowHeight="16.5"/>
  <cols>
    <col min="1" max="1" width="13.1796875" style="35" customWidth="1"/>
    <col min="2" max="2" width="13.1796875" style="35" bestFit="1" customWidth="1"/>
    <col min="3" max="3" width="13.453125" style="35" customWidth="1"/>
    <col min="4" max="4" width="14" style="35" customWidth="1"/>
    <col min="5" max="5" width="11.81640625" style="35" bestFit="1" customWidth="1"/>
    <col min="6" max="6" width="13.81640625" style="35" customWidth="1"/>
    <col min="7" max="7" width="9.1796875" style="35" bestFit="1" customWidth="1"/>
    <col min="8" max="8" width="15.81640625" style="35" bestFit="1" customWidth="1"/>
    <col min="9" max="9" width="13.54296875" style="189" bestFit="1" customWidth="1"/>
    <col min="10" max="10" width="15.81640625" style="35" bestFit="1" customWidth="1"/>
    <col min="11" max="11" width="13.54296875" style="35" bestFit="1" customWidth="1"/>
    <col min="12" max="12" width="15.81640625" style="35" bestFit="1" customWidth="1"/>
    <col min="13" max="13" width="13.54296875" style="35" bestFit="1" customWidth="1"/>
    <col min="14" max="14" width="15.81640625" style="35" bestFit="1" customWidth="1"/>
    <col min="15" max="15" width="13.54296875" style="35" bestFit="1" customWidth="1"/>
    <col min="16" max="16" width="15.81640625" style="35" bestFit="1" customWidth="1"/>
    <col min="17" max="17" width="13.54296875" style="35" bestFit="1" customWidth="1"/>
    <col min="18" max="18" width="15.81640625" style="35" bestFit="1" customWidth="1"/>
    <col min="19" max="19" width="13.54296875" style="35" bestFit="1" customWidth="1"/>
    <col min="20" max="20" width="11.7265625" style="35" customWidth="1"/>
    <col min="21" max="16384" width="11.7265625" style="35"/>
  </cols>
  <sheetData>
    <row r="1" spans="1:19" ht="48" customHeight="1">
      <c r="A1" s="385" t="s">
        <v>53</v>
      </c>
      <c r="B1" s="385"/>
      <c r="C1" s="385"/>
      <c r="D1" s="385"/>
      <c r="E1" s="385"/>
      <c r="F1" s="385"/>
      <c r="G1" s="385"/>
      <c r="H1" s="385"/>
      <c r="I1" s="385"/>
      <c r="J1" s="385"/>
      <c r="K1" s="385"/>
      <c r="L1" s="385"/>
      <c r="M1" s="385"/>
      <c r="N1" s="385"/>
      <c r="O1" s="385"/>
      <c r="P1" s="385"/>
      <c r="Q1" s="385"/>
      <c r="R1" s="385"/>
      <c r="S1" s="385"/>
    </row>
    <row r="2" spans="1:19" ht="12.75" customHeight="1">
      <c r="A2" s="372" t="s">
        <v>287</v>
      </c>
      <c r="B2" s="388"/>
      <c r="C2" s="391" t="str">
        <f>'DADOS BÁSICOS LICITAÇÃO'!D4</f>
        <v>08385.000738/2021-44</v>
      </c>
      <c r="D2" s="388"/>
      <c r="E2" s="372"/>
      <c r="F2" s="373"/>
      <c r="G2" s="373"/>
      <c r="H2" s="373"/>
      <c r="I2" s="373"/>
      <c r="J2" s="373"/>
      <c r="K2" s="373"/>
      <c r="L2" s="373"/>
      <c r="M2" s="373"/>
      <c r="N2" s="373"/>
      <c r="O2" s="373"/>
      <c r="P2" s="373"/>
      <c r="Q2" s="373"/>
      <c r="R2" s="373"/>
      <c r="S2" s="373"/>
    </row>
    <row r="3" spans="1:19" ht="12.75" customHeight="1">
      <c r="A3" s="372" t="s">
        <v>285</v>
      </c>
      <c r="B3" s="388"/>
      <c r="C3" s="372" t="str">
        <f>'DADOS BÁSICOS LICITAÇÃO'!E4</f>
        <v>01/2021</v>
      </c>
      <c r="D3" s="388"/>
      <c r="E3" s="372"/>
      <c r="F3" s="373"/>
      <c r="G3" s="373"/>
      <c r="H3" s="373"/>
      <c r="I3" s="373"/>
      <c r="J3" s="373"/>
      <c r="K3" s="373"/>
      <c r="L3" s="373"/>
      <c r="M3" s="373"/>
      <c r="N3" s="373"/>
      <c r="O3" s="373"/>
      <c r="P3" s="373"/>
      <c r="Q3" s="373"/>
      <c r="R3" s="373"/>
      <c r="S3" s="373"/>
    </row>
    <row r="4" spans="1:19" ht="12.75" customHeight="1">
      <c r="A4" s="374" t="s">
        <v>288</v>
      </c>
      <c r="B4" s="389"/>
      <c r="C4" s="392">
        <f>'DADOS BÁSICOS LICITAÇÃO'!B4</f>
        <v>44358</v>
      </c>
      <c r="D4" s="389"/>
      <c r="E4" s="374"/>
      <c r="F4" s="375"/>
      <c r="G4" s="375"/>
      <c r="H4" s="375"/>
      <c r="I4" s="375"/>
      <c r="J4" s="375"/>
      <c r="K4" s="375"/>
      <c r="L4" s="375"/>
      <c r="M4" s="375"/>
      <c r="N4" s="375"/>
      <c r="O4" s="375"/>
      <c r="P4" s="375"/>
      <c r="Q4" s="375"/>
      <c r="R4" s="375"/>
      <c r="S4" s="375"/>
    </row>
    <row r="5" spans="1:19" ht="12.75" customHeight="1">
      <c r="A5" s="390" t="s">
        <v>289</v>
      </c>
      <c r="B5" s="390"/>
      <c r="C5" s="393">
        <f>'DADOS BÁSICOS LICITAÇÃO'!C4</f>
        <v>0.39583333333333298</v>
      </c>
      <c r="D5" s="390"/>
      <c r="E5" s="376"/>
      <c r="F5" s="376"/>
      <c r="G5" s="376"/>
      <c r="H5" s="376"/>
      <c r="I5" s="376"/>
      <c r="J5" s="376"/>
      <c r="K5" s="376"/>
      <c r="L5" s="376"/>
      <c r="M5" s="376"/>
      <c r="N5" s="376"/>
      <c r="O5" s="376"/>
      <c r="P5" s="376"/>
      <c r="Q5" s="376"/>
      <c r="R5" s="376"/>
      <c r="S5" s="376"/>
    </row>
    <row r="6" spans="1:19" ht="21" customHeight="1" thickBot="1">
      <c r="A6" s="352" t="s">
        <v>57</v>
      </c>
      <c r="B6" s="352"/>
      <c r="C6" s="352"/>
      <c r="D6" s="352"/>
      <c r="E6" s="352"/>
      <c r="F6" s="352"/>
      <c r="G6" s="352"/>
      <c r="H6" s="352"/>
      <c r="I6" s="352"/>
      <c r="J6" s="352"/>
      <c r="K6" s="352"/>
      <c r="L6" s="352"/>
      <c r="M6" s="352"/>
      <c r="N6" s="352"/>
      <c r="O6" s="352"/>
      <c r="P6" s="352"/>
      <c r="Q6" s="352"/>
      <c r="R6" s="352"/>
      <c r="S6" s="352"/>
    </row>
    <row r="7" spans="1:19" ht="12.75" customHeight="1">
      <c r="A7" s="36" t="s">
        <v>58</v>
      </c>
      <c r="B7" s="302" t="s">
        <v>59</v>
      </c>
      <c r="C7" s="303"/>
      <c r="D7" s="303"/>
      <c r="E7" s="303"/>
      <c r="F7" s="303"/>
      <c r="G7" s="284"/>
      <c r="H7" s="346">
        <f ca="1">'DADOS BÁSICOS 2º ANO'!$A$4</f>
        <v>44344</v>
      </c>
      <c r="I7" s="346"/>
      <c r="J7" s="346">
        <f ca="1">'DADOS BÁSICOS 2º ANO'!$A$4</f>
        <v>44344</v>
      </c>
      <c r="K7" s="346"/>
      <c r="L7" s="346">
        <f ca="1">'DADOS BÁSICOS 2º ANO'!$A$4</f>
        <v>44344</v>
      </c>
      <c r="M7" s="346"/>
      <c r="N7" s="346">
        <f ca="1">'DADOS BÁSICOS 2º ANO'!$A$4</f>
        <v>44344</v>
      </c>
      <c r="O7" s="346"/>
      <c r="P7" s="346">
        <f ca="1">'DADOS BÁSICOS 2º ANO'!$A$4</f>
        <v>44344</v>
      </c>
      <c r="Q7" s="346"/>
      <c r="R7" s="346">
        <f ca="1">'DADOS BÁSICOS 2º ANO'!$A$4</f>
        <v>44344</v>
      </c>
      <c r="S7" s="346"/>
    </row>
    <row r="8" spans="1:19" ht="12.75" customHeight="1">
      <c r="A8" s="36" t="s">
        <v>60</v>
      </c>
      <c r="B8" s="286" t="s">
        <v>61</v>
      </c>
      <c r="C8" s="286"/>
      <c r="D8" s="286"/>
      <c r="E8" s="286"/>
      <c r="F8" s="286"/>
      <c r="G8" s="286"/>
      <c r="H8" s="345" t="str">
        <f>'DADOS BÁSICOS 2º ANO'!A8</f>
        <v>Curitiba/PR</v>
      </c>
      <c r="I8" s="345"/>
      <c r="J8" s="387" t="str">
        <f>'DADOS BÁSICOS 2º ANO'!A9</f>
        <v>Guarapuava/PR</v>
      </c>
      <c r="K8" s="387"/>
      <c r="L8" s="387" t="str">
        <f>'DADOS BÁSICOS 2º ANO'!A10</f>
        <v>Londrina/PR</v>
      </c>
      <c r="M8" s="387"/>
      <c r="N8" s="387" t="str">
        <f>'DADOS BÁSICOS 2º ANO'!A11</f>
        <v>Maringá/PR</v>
      </c>
      <c r="O8" s="387"/>
      <c r="P8" s="387" t="str">
        <f>'DADOS BÁSICOS 2º ANO'!A12</f>
        <v>Paranaguá/PR</v>
      </c>
      <c r="Q8" s="387"/>
      <c r="R8" s="387" t="str">
        <f>'DADOS BÁSICOS 2º ANO'!A13</f>
        <v>Ponta Grossa/PR</v>
      </c>
      <c r="S8" s="387"/>
    </row>
    <row r="9" spans="1:19" ht="12.75" customHeight="1">
      <c r="A9" s="36" t="s">
        <v>62</v>
      </c>
      <c r="B9" s="286" t="s">
        <v>63</v>
      </c>
      <c r="C9" s="286"/>
      <c r="D9" s="286"/>
      <c r="E9" s="286"/>
      <c r="F9" s="286"/>
      <c r="G9" s="286"/>
      <c r="H9" s="344" t="str">
        <f>'DADOS BÁSICOS 2º ANO'!D8</f>
        <v>PR000326/2021</v>
      </c>
      <c r="I9" s="344"/>
      <c r="J9" s="344" t="str">
        <f>'DADOS BÁSICOS 2º ANO'!D9</f>
        <v>PR000326/2021</v>
      </c>
      <c r="K9" s="344"/>
      <c r="L9" s="344" t="str">
        <f>'DADOS BÁSICOS 2º ANO'!D10</f>
        <v>PR000326/2021</v>
      </c>
      <c r="M9" s="344"/>
      <c r="N9" s="344" t="str">
        <f>'DADOS BÁSICOS 2º ANO'!D11</f>
        <v>PR000326/2021</v>
      </c>
      <c r="O9" s="344"/>
      <c r="P9" s="344" t="str">
        <f>'DADOS BÁSICOS 2º ANO'!D12</f>
        <v>PR000326/2021</v>
      </c>
      <c r="Q9" s="344"/>
      <c r="R9" s="344" t="str">
        <f>'DADOS BÁSICOS 2º ANO'!D13</f>
        <v>PR000326/2021</v>
      </c>
      <c r="S9" s="344"/>
    </row>
    <row r="10" spans="1:19" ht="12.75" customHeight="1">
      <c r="A10" s="36" t="s">
        <v>64</v>
      </c>
      <c r="B10" s="286" t="s">
        <v>65</v>
      </c>
      <c r="C10" s="286"/>
      <c r="D10" s="286"/>
      <c r="E10" s="286"/>
      <c r="F10" s="286"/>
      <c r="G10" s="286"/>
      <c r="H10" s="344">
        <f>'DADOS BÁSICOS 2º ANO'!$E$17</f>
        <v>12</v>
      </c>
      <c r="I10" s="344"/>
      <c r="J10" s="344">
        <f>'DADOS BÁSICOS 2º ANO'!$E$17</f>
        <v>12</v>
      </c>
      <c r="K10" s="344"/>
      <c r="L10" s="344">
        <f>'DADOS BÁSICOS 2º ANO'!$E$17</f>
        <v>12</v>
      </c>
      <c r="M10" s="344"/>
      <c r="N10" s="344">
        <f>'DADOS BÁSICOS 2º ANO'!$E$17</f>
        <v>12</v>
      </c>
      <c r="O10" s="344"/>
      <c r="P10" s="344">
        <f>'DADOS BÁSICOS 2º ANO'!$E$17</f>
        <v>12</v>
      </c>
      <c r="Q10" s="344"/>
      <c r="R10" s="344">
        <f>'DADOS BÁSICOS 2º ANO'!$E$17</f>
        <v>12</v>
      </c>
      <c r="S10" s="344"/>
    </row>
    <row r="11" spans="1:19" ht="12.75" customHeight="1">
      <c r="A11" s="36" t="s">
        <v>66</v>
      </c>
      <c r="B11" s="286" t="s">
        <v>67</v>
      </c>
      <c r="C11" s="286"/>
      <c r="D11" s="286"/>
      <c r="E11" s="286"/>
      <c r="F11" s="286"/>
      <c r="G11" s="286"/>
      <c r="H11" s="344">
        <f>'DADOS BÁSICOS 2º ANO'!B8</f>
        <v>46</v>
      </c>
      <c r="I11" s="344"/>
      <c r="J11" s="344">
        <f>'DADOS BÁSICOS 2º ANO'!B9</f>
        <v>4</v>
      </c>
      <c r="K11" s="344"/>
      <c r="L11" s="344">
        <f>'DADOS BÁSICOS 2º ANO'!B10</f>
        <v>14</v>
      </c>
      <c r="M11" s="344"/>
      <c r="N11" s="344">
        <f>'DADOS BÁSICOS 2º ANO'!B11</f>
        <v>12</v>
      </c>
      <c r="O11" s="344"/>
      <c r="P11" s="344">
        <f>'DADOS BÁSICOS 2º ANO'!B12</f>
        <v>6</v>
      </c>
      <c r="Q11" s="344"/>
      <c r="R11" s="344">
        <f>'DADOS BÁSICOS 2º ANO'!B13</f>
        <v>4</v>
      </c>
      <c r="S11" s="344"/>
    </row>
    <row r="12" spans="1:19" ht="12.75" customHeight="1">
      <c r="A12" s="37" t="s">
        <v>68</v>
      </c>
      <c r="B12" s="38"/>
      <c r="C12" s="38"/>
      <c r="D12" s="38"/>
      <c r="E12" s="38"/>
      <c r="F12" s="38"/>
      <c r="G12" s="38"/>
      <c r="H12" s="39"/>
      <c r="I12" s="40"/>
      <c r="J12" s="39"/>
      <c r="K12" s="40"/>
      <c r="L12" s="39"/>
      <c r="M12" s="40"/>
      <c r="N12" s="39"/>
      <c r="O12" s="40"/>
      <c r="P12" s="39"/>
      <c r="Q12" s="40"/>
      <c r="R12" s="39"/>
      <c r="S12" s="40"/>
    </row>
    <row r="13" spans="1:19" ht="27" customHeight="1">
      <c r="A13" s="36">
        <v>1</v>
      </c>
      <c r="B13" s="286" t="s">
        <v>69</v>
      </c>
      <c r="C13" s="286"/>
      <c r="D13" s="286"/>
      <c r="E13" s="286"/>
      <c r="F13" s="286"/>
      <c r="G13" s="286"/>
      <c r="H13" s="343" t="s">
        <v>70</v>
      </c>
      <c r="I13" s="343"/>
      <c r="J13" s="343" t="s">
        <v>70</v>
      </c>
      <c r="K13" s="343"/>
      <c r="L13" s="343" t="s">
        <v>70</v>
      </c>
      <c r="M13" s="343"/>
      <c r="N13" s="343" t="s">
        <v>70</v>
      </c>
      <c r="O13" s="343"/>
      <c r="P13" s="343" t="s">
        <v>70</v>
      </c>
      <c r="Q13" s="343"/>
      <c r="R13" s="343" t="s">
        <v>70</v>
      </c>
      <c r="S13" s="343"/>
    </row>
    <row r="14" spans="1:19" ht="12.75" customHeight="1">
      <c r="A14" s="36">
        <v>2</v>
      </c>
      <c r="B14" s="286" t="s">
        <v>71</v>
      </c>
      <c r="C14" s="286"/>
      <c r="D14" s="286"/>
      <c r="E14" s="286"/>
      <c r="F14" s="286"/>
      <c r="G14" s="286"/>
      <c r="H14" s="342" t="str">
        <f>'DADOS BÁSICOS 2º ANO'!$A$17</f>
        <v>4221-05</v>
      </c>
      <c r="I14" s="342"/>
      <c r="J14" s="342" t="str">
        <f>'DADOS BÁSICOS 2º ANO'!$A$17</f>
        <v>4221-05</v>
      </c>
      <c r="K14" s="342"/>
      <c r="L14" s="342" t="str">
        <f>'DADOS BÁSICOS 2º ANO'!$A$17</f>
        <v>4221-05</v>
      </c>
      <c r="M14" s="342"/>
      <c r="N14" s="342" t="str">
        <f>'DADOS BÁSICOS 2º ANO'!$A$17</f>
        <v>4221-05</v>
      </c>
      <c r="O14" s="342"/>
      <c r="P14" s="342" t="str">
        <f>'DADOS BÁSICOS 2º ANO'!$A$17</f>
        <v>4221-05</v>
      </c>
      <c r="Q14" s="342"/>
      <c r="R14" s="342" t="str">
        <f>'DADOS BÁSICOS 2º ANO'!$A$17</f>
        <v>4221-05</v>
      </c>
      <c r="S14" s="342"/>
    </row>
    <row r="15" spans="1:19" ht="15" customHeight="1">
      <c r="A15" s="36">
        <v>4</v>
      </c>
      <c r="B15" s="286" t="s">
        <v>73</v>
      </c>
      <c r="C15" s="286"/>
      <c r="D15" s="286"/>
      <c r="E15" s="286"/>
      <c r="F15" s="286"/>
      <c r="G15" s="286"/>
      <c r="H15" s="342" t="str">
        <f>'DADOS BÁSICOS 2º ANO'!$B$17</f>
        <v>Recepcionista</v>
      </c>
      <c r="I15" s="342"/>
      <c r="J15" s="342" t="str">
        <f>'DADOS BÁSICOS 2º ANO'!$B$17</f>
        <v>Recepcionista</v>
      </c>
      <c r="K15" s="342"/>
      <c r="L15" s="342" t="str">
        <f>'DADOS BÁSICOS 2º ANO'!$B$17</f>
        <v>Recepcionista</v>
      </c>
      <c r="M15" s="342"/>
      <c r="N15" s="342" t="str">
        <f>'DADOS BÁSICOS 2º ANO'!$B$17</f>
        <v>Recepcionista</v>
      </c>
      <c r="O15" s="342"/>
      <c r="P15" s="342" t="str">
        <f>'DADOS BÁSICOS 2º ANO'!$B$17</f>
        <v>Recepcionista</v>
      </c>
      <c r="Q15" s="342"/>
      <c r="R15" s="342" t="str">
        <f>'DADOS BÁSICOS 2º ANO'!$B$17</f>
        <v>Recepcionista</v>
      </c>
      <c r="S15" s="342"/>
    </row>
    <row r="16" spans="1:19" ht="12.75" customHeight="1">
      <c r="A16" s="41">
        <v>5</v>
      </c>
      <c r="B16" s="286" t="s">
        <v>74</v>
      </c>
      <c r="C16" s="286"/>
      <c r="D16" s="286"/>
      <c r="E16" s="286"/>
      <c r="F16" s="286"/>
      <c r="G16" s="286"/>
      <c r="H16" s="384">
        <f>'DADOS BÁSICOS 2º ANO'!E8</f>
        <v>44228</v>
      </c>
      <c r="I16" s="384"/>
      <c r="J16" s="384">
        <f>'DADOS BÁSICOS 2º ANO'!E9</f>
        <v>44228</v>
      </c>
      <c r="K16" s="384"/>
      <c r="L16" s="384">
        <f>'DADOS BÁSICOS 2º ANO'!E10</f>
        <v>44228</v>
      </c>
      <c r="M16" s="384"/>
      <c r="N16" s="384">
        <f>'DADOS BÁSICOS 2º ANO'!E11</f>
        <v>44228</v>
      </c>
      <c r="O16" s="384"/>
      <c r="P16" s="384">
        <f>'DADOS BÁSICOS 2º ANO'!E12</f>
        <v>44228</v>
      </c>
      <c r="Q16" s="384"/>
      <c r="R16" s="384">
        <f>'DADOS BÁSICOS 2º ANO'!E13</f>
        <v>44228</v>
      </c>
      <c r="S16" s="384"/>
    </row>
    <row r="17" spans="1:19" ht="12.75" customHeight="1">
      <c r="A17" s="36">
        <v>3</v>
      </c>
      <c r="B17" s="286" t="s">
        <v>72</v>
      </c>
      <c r="C17" s="286"/>
      <c r="D17" s="286"/>
      <c r="E17" s="286"/>
      <c r="F17" s="286"/>
      <c r="G17" s="286"/>
      <c r="H17" s="383">
        <f>'DADOS BÁSICOS 2º ANO'!H8</f>
        <v>1516.66</v>
      </c>
      <c r="I17" s="383"/>
      <c r="J17" s="383">
        <f>'DADOS BÁSICOS 2º ANO'!H9</f>
        <v>1516.66</v>
      </c>
      <c r="K17" s="383"/>
      <c r="L17" s="383">
        <f>'DADOS BÁSICOS 2º ANO'!H10</f>
        <v>1516.66</v>
      </c>
      <c r="M17" s="383"/>
      <c r="N17" s="383">
        <f>'DADOS BÁSICOS 2º ANO'!H11</f>
        <v>1516.66</v>
      </c>
      <c r="O17" s="383"/>
      <c r="P17" s="383">
        <f>'DADOS BÁSICOS 2º ANO'!H12</f>
        <v>1516.66</v>
      </c>
      <c r="Q17" s="383"/>
      <c r="R17" s="383">
        <f>'DADOS BÁSICOS 2º ANO'!H13</f>
        <v>1516.66</v>
      </c>
      <c r="S17" s="383"/>
    </row>
    <row r="18" spans="1:19" ht="12.75" customHeight="1">
      <c r="A18" s="43">
        <v>6</v>
      </c>
      <c r="B18" s="284" t="s">
        <v>233</v>
      </c>
      <c r="C18" s="284"/>
      <c r="D18" s="284"/>
      <c r="E18" s="284"/>
      <c r="F18" s="284"/>
      <c r="G18" s="284"/>
      <c r="H18" s="382">
        <f>'DADOS BÁSICOS 2º ANO'!G8</f>
        <v>220</v>
      </c>
      <c r="I18" s="382"/>
      <c r="J18" s="336">
        <f>'DADOS BÁSICOS 2º ANO'!G9</f>
        <v>220</v>
      </c>
      <c r="K18" s="337"/>
      <c r="L18" s="336">
        <f>'DADOS BÁSICOS 2º ANO'!G10</f>
        <v>220</v>
      </c>
      <c r="M18" s="337"/>
      <c r="N18" s="336">
        <f>'DADOS BÁSICOS 2º ANO'!G11</f>
        <v>220</v>
      </c>
      <c r="O18" s="337"/>
      <c r="P18" s="336">
        <f>'DADOS BÁSICOS 2º ANO'!G12</f>
        <v>220</v>
      </c>
      <c r="Q18" s="337"/>
      <c r="R18" s="336">
        <f>'DADOS BÁSICOS 2º ANO'!G13</f>
        <v>220</v>
      </c>
      <c r="S18" s="337"/>
    </row>
    <row r="19" spans="1:19" ht="12.75" customHeight="1">
      <c r="A19" s="43">
        <v>6</v>
      </c>
      <c r="B19" s="303" t="s">
        <v>234</v>
      </c>
      <c r="C19" s="303"/>
      <c r="D19" s="303"/>
      <c r="E19" s="303"/>
      <c r="F19" s="303"/>
      <c r="G19" s="284"/>
      <c r="H19" s="336">
        <f>'DADOS BÁSICOS 2º ANO'!$C$17</f>
        <v>200</v>
      </c>
      <c r="I19" s="337"/>
      <c r="J19" s="336">
        <f>'DADOS BÁSICOS 2º ANO'!$C$17</f>
        <v>200</v>
      </c>
      <c r="K19" s="337"/>
      <c r="L19" s="336">
        <f>'DADOS BÁSICOS 2º ANO'!$C$17</f>
        <v>200</v>
      </c>
      <c r="M19" s="337"/>
      <c r="N19" s="336">
        <f>'DADOS BÁSICOS 2º ANO'!$C$17</f>
        <v>200</v>
      </c>
      <c r="O19" s="337"/>
      <c r="P19" s="336">
        <f>'DADOS BÁSICOS 2º ANO'!$C$17</f>
        <v>200</v>
      </c>
      <c r="Q19" s="337"/>
      <c r="R19" s="336">
        <f>'DADOS BÁSICOS 2º ANO'!$C$17</f>
        <v>200</v>
      </c>
      <c r="S19" s="337"/>
    </row>
    <row r="20" spans="1:19" ht="12.75" customHeight="1">
      <c r="A20" s="43">
        <v>7</v>
      </c>
      <c r="B20" s="284" t="s">
        <v>75</v>
      </c>
      <c r="C20" s="284"/>
      <c r="D20" s="284"/>
      <c r="E20" s="284"/>
      <c r="F20" s="284"/>
      <c r="G20" s="284"/>
      <c r="H20" s="336">
        <f>'DADOS BÁSICOS 2º ANO'!$F$17</f>
        <v>22</v>
      </c>
      <c r="I20" s="337"/>
      <c r="J20" s="336">
        <f>'DADOS BÁSICOS 2º ANO'!$F$17</f>
        <v>22</v>
      </c>
      <c r="K20" s="337"/>
      <c r="L20" s="336">
        <f>'DADOS BÁSICOS 2º ANO'!$F$17</f>
        <v>22</v>
      </c>
      <c r="M20" s="337"/>
      <c r="N20" s="336">
        <f>'DADOS BÁSICOS 2º ANO'!$F$17</f>
        <v>22</v>
      </c>
      <c r="O20" s="337"/>
      <c r="P20" s="336">
        <f>'DADOS BÁSICOS 2º ANO'!$F$17</f>
        <v>22</v>
      </c>
      <c r="Q20" s="337"/>
      <c r="R20" s="336">
        <f>'DADOS BÁSICOS 2º ANO'!$F$17</f>
        <v>22</v>
      </c>
      <c r="S20" s="337"/>
    </row>
    <row r="21" spans="1:19">
      <c r="A21" s="44" t="s">
        <v>76</v>
      </c>
      <c r="B21" s="38"/>
      <c r="C21" s="38"/>
      <c r="D21" s="38"/>
      <c r="E21" s="38"/>
      <c r="F21" s="38"/>
      <c r="G21" s="38"/>
      <c r="H21" s="39"/>
      <c r="I21" s="40"/>
      <c r="J21" s="39"/>
      <c r="K21" s="40"/>
      <c r="L21" s="39"/>
      <c r="M21" s="40"/>
      <c r="N21" s="39"/>
      <c r="O21" s="40"/>
      <c r="P21" s="39"/>
      <c r="Q21" s="40"/>
      <c r="R21" s="39"/>
      <c r="S21" s="40"/>
    </row>
    <row r="22" spans="1:19" ht="12.75" customHeight="1">
      <c r="A22" s="45">
        <v>1</v>
      </c>
      <c r="B22" s="288" t="s">
        <v>77</v>
      </c>
      <c r="C22" s="288"/>
      <c r="D22" s="288"/>
      <c r="E22" s="288"/>
      <c r="F22" s="288"/>
      <c r="G22" s="288"/>
      <c r="H22" s="46" t="s">
        <v>78</v>
      </c>
      <c r="I22" s="47" t="s">
        <v>79</v>
      </c>
      <c r="J22" s="46" t="s">
        <v>78</v>
      </c>
      <c r="K22" s="47" t="s">
        <v>79</v>
      </c>
      <c r="L22" s="46" t="s">
        <v>78</v>
      </c>
      <c r="M22" s="47" t="s">
        <v>79</v>
      </c>
      <c r="N22" s="46" t="s">
        <v>78</v>
      </c>
      <c r="O22" s="47" t="s">
        <v>79</v>
      </c>
      <c r="P22" s="46" t="s">
        <v>78</v>
      </c>
      <c r="Q22" s="47" t="s">
        <v>79</v>
      </c>
      <c r="R22" s="46" t="s">
        <v>78</v>
      </c>
      <c r="S22" s="47" t="s">
        <v>79</v>
      </c>
    </row>
    <row r="23" spans="1:19" ht="12.75" customHeight="1">
      <c r="A23" s="36" t="s">
        <v>58</v>
      </c>
      <c r="B23" s="286" t="s">
        <v>235</v>
      </c>
      <c r="C23" s="286"/>
      <c r="D23" s="286"/>
      <c r="E23" s="286"/>
      <c r="F23" s="286"/>
      <c r="G23" s="286"/>
      <c r="H23" s="48"/>
      <c r="I23" s="57">
        <f>(H17/'DADOS BÁSICOS 2º ANO'!$G8)*'DADOS BÁSICOS 2º ANO'!$C$17</f>
        <v>1378.78</v>
      </c>
      <c r="J23" s="48"/>
      <c r="K23" s="57">
        <f>(J17/'DADOS BÁSICOS 2º ANO'!$G9)*'DADOS BÁSICOS 2º ANO'!$C$17</f>
        <v>1378.78</v>
      </c>
      <c r="L23" s="48"/>
      <c r="M23" s="57">
        <f>(L17/'DADOS BÁSICOS 2º ANO'!$G10)*'DADOS BÁSICOS 2º ANO'!$C$17</f>
        <v>1378.78</v>
      </c>
      <c r="N23" s="48"/>
      <c r="O23" s="57">
        <f>(N17/'DADOS BÁSICOS 2º ANO'!$G11)*'DADOS BÁSICOS 2º ANO'!$C$17</f>
        <v>1378.78</v>
      </c>
      <c r="P23" s="48"/>
      <c r="Q23" s="57">
        <f>(P17/'DADOS BÁSICOS 2º ANO'!$G12)*'DADOS BÁSICOS 2º ANO'!$C$17</f>
        <v>1378.78</v>
      </c>
      <c r="R23" s="48"/>
      <c r="S23" s="57">
        <f>(R17/'DADOS BÁSICOS 2º ANO'!$G13)*'DADOS BÁSICOS 2º ANO'!$C$17</f>
        <v>1378.78</v>
      </c>
    </row>
    <row r="24" spans="1:19" ht="12.75" customHeight="1">
      <c r="A24" s="36" t="s">
        <v>60</v>
      </c>
      <c r="B24" s="335" t="s">
        <v>80</v>
      </c>
      <c r="C24" s="335"/>
      <c r="D24" s="335"/>
      <c r="E24" s="335"/>
      <c r="F24" s="335"/>
      <c r="G24" s="335"/>
      <c r="H24" s="50">
        <v>0.3</v>
      </c>
      <c r="I24" s="71">
        <f>I23*H24</f>
        <v>413.63</v>
      </c>
      <c r="J24" s="50">
        <v>0.3</v>
      </c>
      <c r="K24" s="71">
        <f>K23*J24</f>
        <v>413.63</v>
      </c>
      <c r="L24" s="50">
        <v>0.3</v>
      </c>
      <c r="M24" s="71">
        <f>M23*L24</f>
        <v>413.63</v>
      </c>
      <c r="N24" s="50">
        <v>0.3</v>
      </c>
      <c r="O24" s="71">
        <f>O23*N24</f>
        <v>413.63</v>
      </c>
      <c r="P24" s="50">
        <v>0.3</v>
      </c>
      <c r="Q24" s="71">
        <f>Q23*P24</f>
        <v>413.63</v>
      </c>
      <c r="R24" s="50">
        <v>0.3</v>
      </c>
      <c r="S24" s="71">
        <f>S23*R24</f>
        <v>413.63</v>
      </c>
    </row>
    <row r="25" spans="1:19" s="55" customFormat="1" ht="12.75" customHeight="1">
      <c r="A25" s="52" t="s">
        <v>62</v>
      </c>
      <c r="B25" s="335" t="s">
        <v>81</v>
      </c>
      <c r="C25" s="335"/>
      <c r="D25" s="335"/>
      <c r="E25" s="335"/>
      <c r="F25" s="335"/>
      <c r="G25" s="335"/>
      <c r="H25" s="53"/>
      <c r="I25" s="54"/>
      <c r="J25" s="53"/>
      <c r="K25" s="54"/>
      <c r="L25" s="53"/>
      <c r="M25" s="54"/>
      <c r="N25" s="53"/>
      <c r="O25" s="54"/>
      <c r="P25" s="53"/>
      <c r="Q25" s="54"/>
      <c r="R25" s="53"/>
      <c r="S25" s="54"/>
    </row>
    <row r="26" spans="1:19" s="55" customFormat="1" ht="12.75" customHeight="1">
      <c r="A26" s="52" t="s">
        <v>64</v>
      </c>
      <c r="B26" s="286" t="s">
        <v>82</v>
      </c>
      <c r="C26" s="286"/>
      <c r="D26" s="286"/>
      <c r="E26" s="286"/>
      <c r="F26" s="286"/>
      <c r="G26" s="286"/>
      <c r="H26" s="56"/>
      <c r="I26" s="57"/>
      <c r="J26" s="56"/>
      <c r="K26" s="57"/>
      <c r="L26" s="56"/>
      <c r="M26" s="57"/>
      <c r="N26" s="56"/>
      <c r="O26" s="57"/>
      <c r="P26" s="56"/>
      <c r="Q26" s="57"/>
      <c r="R26" s="56"/>
      <c r="S26" s="57"/>
    </row>
    <row r="27" spans="1:19" s="55" customFormat="1" ht="12.75" customHeight="1">
      <c r="A27" s="52" t="s">
        <v>66</v>
      </c>
      <c r="B27" s="286" t="s">
        <v>83</v>
      </c>
      <c r="C27" s="286"/>
      <c r="D27" s="286"/>
      <c r="E27" s="326"/>
      <c r="F27" s="326"/>
      <c r="G27" s="326"/>
      <c r="H27" s="58"/>
      <c r="I27" s="57"/>
      <c r="J27" s="58"/>
      <c r="K27" s="57"/>
      <c r="L27" s="58"/>
      <c r="M27" s="57"/>
      <c r="N27" s="58"/>
      <c r="O27" s="57"/>
      <c r="P27" s="58"/>
      <c r="Q27" s="57"/>
      <c r="R27" s="58"/>
      <c r="S27" s="57"/>
    </row>
    <row r="28" spans="1:19" s="55" customFormat="1" ht="12.75" customHeight="1">
      <c r="A28" s="59" t="s">
        <v>84</v>
      </c>
      <c r="B28" s="327" t="s">
        <v>171</v>
      </c>
      <c r="C28" s="328"/>
      <c r="D28" s="328"/>
      <c r="E28" s="329" t="s">
        <v>172</v>
      </c>
      <c r="F28" s="330"/>
      <c r="G28" s="331"/>
      <c r="H28" s="60">
        <f>'DADOS BÁSICOS 2º ANO'!$C$22</f>
        <v>1.05</v>
      </c>
      <c r="I28" s="57">
        <f>(((I23+I24)/H19)*(1.5))*H28</f>
        <v>14.12</v>
      </c>
      <c r="J28" s="60">
        <f>'DADOS BÁSICOS 2º ANO'!$C$22</f>
        <v>1.05</v>
      </c>
      <c r="K28" s="57">
        <f>(((K23+K24)/J19)*(1.5))*J28</f>
        <v>14.12</v>
      </c>
      <c r="L28" s="60">
        <f>'DADOS BÁSICOS 2º ANO'!$C$22</f>
        <v>1.05</v>
      </c>
      <c r="M28" s="57">
        <f>(((M23+M24)/L19)*(1.5))*L28</f>
        <v>14.12</v>
      </c>
      <c r="N28" s="60">
        <f>'DADOS BÁSICOS 2º ANO'!$C$22</f>
        <v>1.05</v>
      </c>
      <c r="O28" s="57">
        <f>(((O23+O24)/N19)*(1.5))*N28</f>
        <v>14.12</v>
      </c>
      <c r="P28" s="60">
        <f>'DADOS BÁSICOS 2º ANO'!$C$22</f>
        <v>1.05</v>
      </c>
      <c r="Q28" s="57">
        <f>(((Q23+Q24)/P19)*(1.5))*P28</f>
        <v>14.12</v>
      </c>
      <c r="R28" s="60">
        <f>'DADOS BÁSICOS 2º ANO'!$C$22</f>
        <v>1.05</v>
      </c>
      <c r="S28" s="57">
        <f>(((S23+S24)/R19)*(1.5))*R28</f>
        <v>14.12</v>
      </c>
    </row>
    <row r="29" spans="1:19" s="55" customFormat="1" ht="12.75" customHeight="1">
      <c r="A29" s="332" t="s">
        <v>85</v>
      </c>
      <c r="B29" s="332"/>
      <c r="C29" s="332"/>
      <c r="D29" s="332"/>
      <c r="E29" s="333"/>
      <c r="F29" s="333"/>
      <c r="G29" s="333"/>
      <c r="H29" s="61"/>
      <c r="I29" s="62">
        <f>SUM(I23:I28)</f>
        <v>1806.53</v>
      </c>
      <c r="J29" s="61"/>
      <c r="K29" s="62">
        <f>SUM(K23:K28)</f>
        <v>1806.53</v>
      </c>
      <c r="L29" s="61"/>
      <c r="M29" s="62">
        <f>SUM(M23:M28)</f>
        <v>1806.53</v>
      </c>
      <c r="N29" s="61"/>
      <c r="O29" s="62">
        <f>SUM(O23:O28)</f>
        <v>1806.53</v>
      </c>
      <c r="P29" s="61"/>
      <c r="Q29" s="62">
        <f>SUM(Q23:Q28)</f>
        <v>1806.53</v>
      </c>
      <c r="R29" s="61"/>
      <c r="S29" s="62">
        <f>SUM(S23:S28)</f>
        <v>1806.53</v>
      </c>
    </row>
    <row r="30" spans="1:19">
      <c r="A30" s="37" t="s">
        <v>86</v>
      </c>
      <c r="B30" s="63"/>
      <c r="C30" s="63"/>
      <c r="D30" s="63"/>
      <c r="E30" s="63"/>
      <c r="F30" s="63"/>
      <c r="G30" s="63"/>
      <c r="H30" s="64"/>
      <c r="I30" s="65"/>
      <c r="J30" s="64"/>
      <c r="K30" s="65"/>
      <c r="L30" s="64"/>
      <c r="M30" s="65"/>
      <c r="N30" s="64"/>
      <c r="O30" s="65"/>
      <c r="P30" s="64"/>
      <c r="Q30" s="65"/>
      <c r="R30" s="64"/>
      <c r="S30" s="65"/>
    </row>
    <row r="31" spans="1:19" ht="18" customHeight="1">
      <c r="A31" s="66" t="s">
        <v>87</v>
      </c>
      <c r="B31" s="334" t="s">
        <v>88</v>
      </c>
      <c r="C31" s="334"/>
      <c r="D31" s="334"/>
      <c r="E31" s="334"/>
      <c r="F31" s="334"/>
      <c r="G31" s="334"/>
      <c r="H31" s="67" t="s">
        <v>89</v>
      </c>
      <c r="I31" s="68" t="s">
        <v>79</v>
      </c>
      <c r="J31" s="67" t="s">
        <v>89</v>
      </c>
      <c r="K31" s="68" t="s">
        <v>79</v>
      </c>
      <c r="L31" s="67" t="s">
        <v>89</v>
      </c>
      <c r="M31" s="68" t="s">
        <v>79</v>
      </c>
      <c r="N31" s="67" t="s">
        <v>89</v>
      </c>
      <c r="O31" s="68" t="s">
        <v>79</v>
      </c>
      <c r="P31" s="67" t="s">
        <v>89</v>
      </c>
      <c r="Q31" s="68" t="s">
        <v>79</v>
      </c>
      <c r="R31" s="67" t="s">
        <v>89</v>
      </c>
      <c r="S31" s="68" t="s">
        <v>79</v>
      </c>
    </row>
    <row r="32" spans="1:19" ht="16.5" customHeight="1">
      <c r="A32" s="69" t="s">
        <v>58</v>
      </c>
      <c r="B32" s="286" t="s">
        <v>90</v>
      </c>
      <c r="C32" s="286"/>
      <c r="D32" s="286"/>
      <c r="E32" s="286"/>
      <c r="F32" s="286"/>
      <c r="G32" s="286"/>
      <c r="H32" s="70">
        <f>1/12</f>
        <v>8.3299999999999999E-2</v>
      </c>
      <c r="I32" s="71">
        <f>I$29*H$32</f>
        <v>150.47999999999999</v>
      </c>
      <c r="J32" s="70">
        <f t="shared" ref="J32" si="0">1/12</f>
        <v>8.3299999999999999E-2</v>
      </c>
      <c r="K32" s="71">
        <f t="shared" ref="K32" si="1">K$29*J$32</f>
        <v>150.47999999999999</v>
      </c>
      <c r="L32" s="70">
        <f t="shared" ref="L32" si="2">1/12</f>
        <v>8.3299999999999999E-2</v>
      </c>
      <c r="M32" s="71">
        <f t="shared" ref="M32" si="3">M$29*L$32</f>
        <v>150.47999999999999</v>
      </c>
      <c r="N32" s="70">
        <f t="shared" ref="N32" si="4">1/12</f>
        <v>8.3299999999999999E-2</v>
      </c>
      <c r="O32" s="71">
        <f t="shared" ref="O32" si="5">O$29*N$32</f>
        <v>150.47999999999999</v>
      </c>
      <c r="P32" s="70">
        <f t="shared" ref="P32" si="6">1/12</f>
        <v>8.3299999999999999E-2</v>
      </c>
      <c r="Q32" s="71">
        <f t="shared" ref="Q32" si="7">Q$29*P$32</f>
        <v>150.47999999999999</v>
      </c>
      <c r="R32" s="70">
        <f t="shared" ref="R32" si="8">1/12</f>
        <v>8.3299999999999999E-2</v>
      </c>
      <c r="S32" s="71">
        <f t="shared" ref="S32" si="9">S$29*R$32</f>
        <v>150.47999999999999</v>
      </c>
    </row>
    <row r="33" spans="1:20" ht="16.5" customHeight="1">
      <c r="A33" s="69" t="s">
        <v>60</v>
      </c>
      <c r="B33" s="286" t="s">
        <v>91</v>
      </c>
      <c r="C33" s="286"/>
      <c r="D33" s="286"/>
      <c r="E33" s="286"/>
      <c r="F33" s="286"/>
      <c r="G33" s="286"/>
      <c r="H33" s="70">
        <f>SUM(H34:H39)</f>
        <v>0.12720000000000001</v>
      </c>
      <c r="I33" s="71">
        <f>SUM(I34:I39)</f>
        <v>229.8</v>
      </c>
      <c r="J33" s="70">
        <f t="shared" ref="J33:S33" si="10">SUM(J34:J39)</f>
        <v>0.12720000000000001</v>
      </c>
      <c r="K33" s="71">
        <f t="shared" si="10"/>
        <v>229.8</v>
      </c>
      <c r="L33" s="70">
        <f t="shared" si="10"/>
        <v>0.12720000000000001</v>
      </c>
      <c r="M33" s="71">
        <f t="shared" si="10"/>
        <v>229.8</v>
      </c>
      <c r="N33" s="70">
        <f t="shared" si="10"/>
        <v>0.12720000000000001</v>
      </c>
      <c r="O33" s="71">
        <f t="shared" si="10"/>
        <v>229.8</v>
      </c>
      <c r="P33" s="70">
        <f t="shared" si="10"/>
        <v>0.12720000000000001</v>
      </c>
      <c r="Q33" s="71">
        <f t="shared" si="10"/>
        <v>229.8</v>
      </c>
      <c r="R33" s="70">
        <f t="shared" si="10"/>
        <v>0.12720000000000001</v>
      </c>
      <c r="S33" s="71">
        <f t="shared" si="10"/>
        <v>229.8</v>
      </c>
    </row>
    <row r="34" spans="1:20" ht="16.5" customHeight="1">
      <c r="A34" s="69"/>
      <c r="B34" s="69" t="s">
        <v>183</v>
      </c>
      <c r="C34" s="302" t="s">
        <v>188</v>
      </c>
      <c r="D34" s="303"/>
      <c r="E34" s="303"/>
      <c r="F34" s="303"/>
      <c r="G34" s="284"/>
      <c r="H34" s="70">
        <f>(1/3)/12</f>
        <v>2.7799999999999998E-2</v>
      </c>
      <c r="I34" s="71">
        <f t="shared" ref="I34:I39" si="11">I$29*H34</f>
        <v>50.22</v>
      </c>
      <c r="J34" s="70">
        <f t="shared" ref="J34" si="12">(1/3)/12</f>
        <v>2.7799999999999998E-2</v>
      </c>
      <c r="K34" s="71">
        <f t="shared" ref="K34" si="13">K$29*J34</f>
        <v>50.22</v>
      </c>
      <c r="L34" s="70">
        <f t="shared" ref="L34" si="14">(1/3)/12</f>
        <v>2.7799999999999998E-2</v>
      </c>
      <c r="M34" s="71">
        <f t="shared" ref="M34" si="15">M$29*L34</f>
        <v>50.22</v>
      </c>
      <c r="N34" s="70">
        <f t="shared" ref="N34" si="16">(1/3)/12</f>
        <v>2.7799999999999998E-2</v>
      </c>
      <c r="O34" s="71">
        <f t="shared" ref="O34" si="17">O$29*N34</f>
        <v>50.22</v>
      </c>
      <c r="P34" s="70">
        <f t="shared" ref="P34" si="18">(1/3)/12</f>
        <v>2.7799999999999998E-2</v>
      </c>
      <c r="Q34" s="71">
        <f t="shared" ref="Q34" si="19">Q$29*P34</f>
        <v>50.22</v>
      </c>
      <c r="R34" s="70">
        <f t="shared" ref="R34" si="20">(1/3)/12</f>
        <v>2.7799999999999998E-2</v>
      </c>
      <c r="S34" s="71">
        <f t="shared" ref="S34:S39" si="21">S$29*R34</f>
        <v>50.22</v>
      </c>
    </row>
    <row r="35" spans="1:20" ht="16.5" customHeight="1">
      <c r="A35" s="72"/>
      <c r="B35" s="72" t="s">
        <v>184</v>
      </c>
      <c r="C35" s="320" t="s">
        <v>205</v>
      </c>
      <c r="D35" s="321"/>
      <c r="E35" s="321"/>
      <c r="F35" s="321"/>
      <c r="G35" s="322"/>
      <c r="H35" s="73">
        <f>1/12</f>
        <v>8.3299999999999999E-2</v>
      </c>
      <c r="I35" s="246">
        <f t="shared" si="11"/>
        <v>150.47999999999999</v>
      </c>
      <c r="J35" s="73">
        <f t="shared" ref="J35" si="22">1/12</f>
        <v>8.3299999999999999E-2</v>
      </c>
      <c r="K35" s="246">
        <f t="shared" ref="K35" si="23">K$29*J35</f>
        <v>150.47999999999999</v>
      </c>
      <c r="L35" s="73">
        <f t="shared" ref="L35" si="24">1/12</f>
        <v>8.3299999999999999E-2</v>
      </c>
      <c r="M35" s="246">
        <f t="shared" ref="M35" si="25">M$29*L35</f>
        <v>150.47999999999999</v>
      </c>
      <c r="N35" s="73">
        <f t="shared" ref="N35" si="26">1/12</f>
        <v>8.3299999999999999E-2</v>
      </c>
      <c r="O35" s="246">
        <f t="shared" ref="O35" si="27">O$29*N35</f>
        <v>150.47999999999999</v>
      </c>
      <c r="P35" s="73">
        <f t="shared" ref="P35" si="28">1/12</f>
        <v>8.3299999999999999E-2</v>
      </c>
      <c r="Q35" s="246">
        <f t="shared" ref="Q35" si="29">Q$29*P35</f>
        <v>150.47999999999999</v>
      </c>
      <c r="R35" s="73">
        <f t="shared" ref="R35" si="30">1/12</f>
        <v>8.3299999999999999E-2</v>
      </c>
      <c r="S35" s="246">
        <f t="shared" si="21"/>
        <v>150.47999999999999</v>
      </c>
    </row>
    <row r="36" spans="1:20" ht="16.5" customHeight="1">
      <c r="A36" s="72"/>
      <c r="B36" s="72" t="s">
        <v>266</v>
      </c>
      <c r="C36" s="320" t="s">
        <v>267</v>
      </c>
      <c r="D36" s="321"/>
      <c r="E36" s="321"/>
      <c r="F36" s="321"/>
      <c r="G36" s="322"/>
      <c r="H36" s="73">
        <v>0</v>
      </c>
      <c r="I36" s="74">
        <f t="shared" si="11"/>
        <v>0</v>
      </c>
      <c r="J36" s="73">
        <v>0</v>
      </c>
      <c r="K36" s="74">
        <f t="shared" ref="K36" si="31">K$29*J36</f>
        <v>0</v>
      </c>
      <c r="L36" s="73">
        <v>0</v>
      </c>
      <c r="M36" s="74">
        <f t="shared" ref="M36" si="32">M$29*L36</f>
        <v>0</v>
      </c>
      <c r="N36" s="73">
        <v>0</v>
      </c>
      <c r="O36" s="74">
        <f t="shared" ref="O36" si="33">O$29*N36</f>
        <v>0</v>
      </c>
      <c r="P36" s="73">
        <v>0</v>
      </c>
      <c r="Q36" s="74">
        <f t="shared" ref="Q36" si="34">Q$29*P36</f>
        <v>0</v>
      </c>
      <c r="R36" s="73">
        <v>0</v>
      </c>
      <c r="S36" s="74">
        <f t="shared" si="21"/>
        <v>0</v>
      </c>
    </row>
    <row r="37" spans="1:20" ht="16.5" customHeight="1">
      <c r="A37" s="76"/>
      <c r="B37" s="76" t="s">
        <v>185</v>
      </c>
      <c r="C37" s="323" t="s">
        <v>206</v>
      </c>
      <c r="D37" s="324"/>
      <c r="E37" s="324"/>
      <c r="F37" s="324"/>
      <c r="G37" s="325"/>
      <c r="H37" s="77">
        <f>((H11/12)/12)/H11</f>
        <v>6.8999999999999999E-3</v>
      </c>
      <c r="I37" s="226">
        <f t="shared" si="11"/>
        <v>12.47</v>
      </c>
      <c r="J37" s="77">
        <f t="shared" ref="J37" si="35">((J11/12)/12)/J11</f>
        <v>6.8999999999999999E-3</v>
      </c>
      <c r="K37" s="226">
        <f t="shared" ref="K37" si="36">K$29*J37</f>
        <v>12.47</v>
      </c>
      <c r="L37" s="77">
        <f t="shared" ref="L37" si="37">((L11/12)/12)/L11</f>
        <v>6.8999999999999999E-3</v>
      </c>
      <c r="M37" s="226">
        <f t="shared" ref="M37" si="38">M$29*L37</f>
        <v>12.47</v>
      </c>
      <c r="N37" s="77">
        <f t="shared" ref="N37" si="39">((N11/12)/12)/N11</f>
        <v>6.8999999999999999E-3</v>
      </c>
      <c r="O37" s="226">
        <f t="shared" ref="O37" si="40">O$29*N37</f>
        <v>12.47</v>
      </c>
      <c r="P37" s="77">
        <f t="shared" ref="P37" si="41">((P11/12)/12)/P11</f>
        <v>6.8999999999999999E-3</v>
      </c>
      <c r="Q37" s="226">
        <f t="shared" ref="Q37" si="42">Q$29*P37</f>
        <v>12.47</v>
      </c>
      <c r="R37" s="77">
        <f t="shared" ref="R37" si="43">((R11/12)/12)/R11</f>
        <v>6.8999999999999999E-3</v>
      </c>
      <c r="S37" s="226">
        <f t="shared" si="21"/>
        <v>12.47</v>
      </c>
      <c r="T37" s="164"/>
    </row>
    <row r="38" spans="1:20" ht="16.5" customHeight="1">
      <c r="A38" s="76"/>
      <c r="B38" s="76" t="s">
        <v>186</v>
      </c>
      <c r="C38" s="323" t="s">
        <v>207</v>
      </c>
      <c r="D38" s="324"/>
      <c r="E38" s="324"/>
      <c r="F38" s="324"/>
      <c r="G38" s="325"/>
      <c r="H38" s="77">
        <f>H37/3</f>
        <v>2.3E-3</v>
      </c>
      <c r="I38" s="226">
        <f t="shared" si="11"/>
        <v>4.16</v>
      </c>
      <c r="J38" s="77">
        <f t="shared" ref="J38" si="44">J37/3</f>
        <v>2.3E-3</v>
      </c>
      <c r="K38" s="226">
        <f t="shared" ref="K38" si="45">K$29*J38</f>
        <v>4.16</v>
      </c>
      <c r="L38" s="77">
        <f t="shared" ref="L38" si="46">L37/3</f>
        <v>2.3E-3</v>
      </c>
      <c r="M38" s="226">
        <f t="shared" ref="M38" si="47">M$29*L38</f>
        <v>4.16</v>
      </c>
      <c r="N38" s="77">
        <f t="shared" ref="N38" si="48">N37/3</f>
        <v>2.3E-3</v>
      </c>
      <c r="O38" s="226">
        <f t="shared" ref="O38" si="49">O$29*N38</f>
        <v>4.16</v>
      </c>
      <c r="P38" s="77">
        <f t="shared" ref="P38" si="50">P37/3</f>
        <v>2.3E-3</v>
      </c>
      <c r="Q38" s="226">
        <f t="shared" ref="Q38" si="51">Q$29*P38</f>
        <v>4.16</v>
      </c>
      <c r="R38" s="77">
        <f t="shared" ref="R38" si="52">R37/3</f>
        <v>2.3E-3</v>
      </c>
      <c r="S38" s="226">
        <f t="shared" si="21"/>
        <v>4.16</v>
      </c>
    </row>
    <row r="39" spans="1:20" ht="16.5" customHeight="1">
      <c r="A39" s="76"/>
      <c r="B39" s="76" t="s">
        <v>187</v>
      </c>
      <c r="C39" s="323" t="s">
        <v>208</v>
      </c>
      <c r="D39" s="324"/>
      <c r="E39" s="324"/>
      <c r="F39" s="324"/>
      <c r="G39" s="325"/>
      <c r="H39" s="77">
        <f>((H11/12)/12)/H11</f>
        <v>6.8999999999999999E-3</v>
      </c>
      <c r="I39" s="226">
        <f t="shared" si="11"/>
        <v>12.47</v>
      </c>
      <c r="J39" s="77">
        <f t="shared" ref="J39" si="53">((J11/12)/12)/J11</f>
        <v>6.8999999999999999E-3</v>
      </c>
      <c r="K39" s="226">
        <f t="shared" ref="K39" si="54">K$29*J39</f>
        <v>12.47</v>
      </c>
      <c r="L39" s="77">
        <f t="shared" ref="L39" si="55">((L11/12)/12)/L11</f>
        <v>6.8999999999999999E-3</v>
      </c>
      <c r="M39" s="226">
        <f t="shared" ref="M39" si="56">M$29*L39</f>
        <v>12.47</v>
      </c>
      <c r="N39" s="77">
        <f t="shared" ref="N39" si="57">((N11/12)/12)/N11</f>
        <v>6.8999999999999999E-3</v>
      </c>
      <c r="O39" s="226">
        <f t="shared" ref="O39" si="58">O$29*N39</f>
        <v>12.47</v>
      </c>
      <c r="P39" s="77">
        <f t="shared" ref="P39" si="59">((P11/12)/12)/P11</f>
        <v>6.8999999999999999E-3</v>
      </c>
      <c r="Q39" s="226">
        <f t="shared" ref="Q39" si="60">Q$29*P39</f>
        <v>12.47</v>
      </c>
      <c r="R39" s="77">
        <f t="shared" ref="R39" si="61">((R11/12)/12)/R11</f>
        <v>6.8999999999999999E-3</v>
      </c>
      <c r="S39" s="226">
        <f t="shared" si="21"/>
        <v>12.47</v>
      </c>
    </row>
    <row r="40" spans="1:20">
      <c r="A40" s="287" t="s">
        <v>85</v>
      </c>
      <c r="B40" s="287"/>
      <c r="C40" s="287"/>
      <c r="D40" s="287"/>
      <c r="E40" s="287"/>
      <c r="F40" s="287"/>
      <c r="G40" s="287"/>
      <c r="H40" s="79">
        <f>SUM(H32:H33)</f>
        <v>0.21049999999999999</v>
      </c>
      <c r="I40" s="80">
        <f>SUM(I32:I33)</f>
        <v>380.28</v>
      </c>
      <c r="J40" s="79">
        <f t="shared" ref="J40:S40" si="62">SUM(J32:J33)</f>
        <v>0.21049999999999999</v>
      </c>
      <c r="K40" s="80">
        <f t="shared" si="62"/>
        <v>380.28</v>
      </c>
      <c r="L40" s="79">
        <f t="shared" si="62"/>
        <v>0.21049999999999999</v>
      </c>
      <c r="M40" s="80">
        <f t="shared" si="62"/>
        <v>380.28</v>
      </c>
      <c r="N40" s="79">
        <f t="shared" si="62"/>
        <v>0.21049999999999999</v>
      </c>
      <c r="O40" s="80">
        <f t="shared" si="62"/>
        <v>380.28</v>
      </c>
      <c r="P40" s="79">
        <f t="shared" si="62"/>
        <v>0.21049999999999999</v>
      </c>
      <c r="Q40" s="80">
        <f t="shared" si="62"/>
        <v>380.28</v>
      </c>
      <c r="R40" s="79">
        <f t="shared" si="62"/>
        <v>0.21049999999999999</v>
      </c>
      <c r="S40" s="80">
        <f t="shared" si="62"/>
        <v>380.28</v>
      </c>
    </row>
    <row r="41" spans="1:20">
      <c r="A41" s="304" t="s">
        <v>92</v>
      </c>
      <c r="B41" s="304"/>
      <c r="C41" s="304"/>
      <c r="D41" s="304"/>
      <c r="E41" s="304"/>
      <c r="F41" s="304"/>
      <c r="G41" s="304"/>
      <c r="H41" s="81" t="s">
        <v>93</v>
      </c>
      <c r="I41" s="82">
        <f>I29</f>
        <v>1806.53</v>
      </c>
      <c r="J41" s="81" t="s">
        <v>94</v>
      </c>
      <c r="K41" s="82">
        <f>K29</f>
        <v>1806.53</v>
      </c>
      <c r="L41" s="81" t="s">
        <v>95</v>
      </c>
      <c r="M41" s="82">
        <f>M29</f>
        <v>1806.53</v>
      </c>
      <c r="N41" s="81" t="s">
        <v>96</v>
      </c>
      <c r="O41" s="82">
        <f>O29</f>
        <v>1806.53</v>
      </c>
      <c r="P41" s="81" t="s">
        <v>97</v>
      </c>
      <c r="Q41" s="82">
        <f>Q29</f>
        <v>1806.53</v>
      </c>
      <c r="R41" s="81" t="s">
        <v>98</v>
      </c>
      <c r="S41" s="82">
        <f>S29</f>
        <v>1806.53</v>
      </c>
    </row>
    <row r="42" spans="1:20">
      <c r="A42" s="304"/>
      <c r="B42" s="304"/>
      <c r="C42" s="304"/>
      <c r="D42" s="304"/>
      <c r="E42" s="304"/>
      <c r="F42" s="304"/>
      <c r="G42" s="304"/>
      <c r="H42" s="81" t="s">
        <v>99</v>
      </c>
      <c r="I42" s="82">
        <f>I40</f>
        <v>380.28</v>
      </c>
      <c r="J42" s="81" t="s">
        <v>100</v>
      </c>
      <c r="K42" s="82">
        <f>K40</f>
        <v>380.28</v>
      </c>
      <c r="L42" s="81" t="s">
        <v>101</v>
      </c>
      <c r="M42" s="82">
        <f>M40</f>
        <v>380.28</v>
      </c>
      <c r="N42" s="81" t="s">
        <v>102</v>
      </c>
      <c r="O42" s="82">
        <f>O40</f>
        <v>380.28</v>
      </c>
      <c r="P42" s="81" t="s">
        <v>103</v>
      </c>
      <c r="Q42" s="82">
        <f>Q40</f>
        <v>380.28</v>
      </c>
      <c r="R42" s="81" t="s">
        <v>104</v>
      </c>
      <c r="S42" s="82">
        <f>S40</f>
        <v>380.28</v>
      </c>
    </row>
    <row r="43" spans="1:20">
      <c r="A43" s="304"/>
      <c r="B43" s="304"/>
      <c r="C43" s="304"/>
      <c r="D43" s="304"/>
      <c r="E43" s="304"/>
      <c r="F43" s="304"/>
      <c r="G43" s="304"/>
      <c r="H43" s="81" t="s">
        <v>85</v>
      </c>
      <c r="I43" s="82">
        <f>SUM(I41:I42)</f>
        <v>2186.81</v>
      </c>
      <c r="J43" s="81" t="s">
        <v>85</v>
      </c>
      <c r="K43" s="82">
        <f>SUM(K41:K42)</f>
        <v>2186.81</v>
      </c>
      <c r="L43" s="81" t="s">
        <v>85</v>
      </c>
      <c r="M43" s="82">
        <f>SUM(M41:M42)</f>
        <v>2186.81</v>
      </c>
      <c r="N43" s="81" t="s">
        <v>85</v>
      </c>
      <c r="O43" s="82">
        <f>SUM(O41:O42)</f>
        <v>2186.81</v>
      </c>
      <c r="P43" s="81" t="s">
        <v>85</v>
      </c>
      <c r="Q43" s="82">
        <f>SUM(Q41:Q42)</f>
        <v>2186.81</v>
      </c>
      <c r="R43" s="81" t="s">
        <v>85</v>
      </c>
      <c r="S43" s="82">
        <f>SUM(S41:S42)</f>
        <v>2186.81</v>
      </c>
    </row>
    <row r="44" spans="1:20" ht="33" customHeight="1">
      <c r="A44" s="37" t="s">
        <v>105</v>
      </c>
      <c r="B44" s="63"/>
      <c r="C44" s="63"/>
      <c r="D44" s="63"/>
      <c r="E44" s="63"/>
      <c r="F44" s="63"/>
      <c r="G44" s="63"/>
      <c r="H44" s="64"/>
      <c r="I44" s="65"/>
      <c r="J44" s="64"/>
      <c r="K44" s="65"/>
      <c r="L44" s="64"/>
      <c r="M44" s="65"/>
      <c r="N44" s="64"/>
      <c r="O44" s="65"/>
      <c r="P44" s="64"/>
      <c r="Q44" s="65"/>
      <c r="R44" s="64"/>
      <c r="S44" s="65"/>
    </row>
    <row r="45" spans="1:20" ht="19.5" customHeight="1">
      <c r="A45" s="83" t="s">
        <v>106</v>
      </c>
      <c r="B45" s="288" t="s">
        <v>107</v>
      </c>
      <c r="C45" s="288"/>
      <c r="D45" s="288"/>
      <c r="E45" s="288"/>
      <c r="F45" s="288"/>
      <c r="G45" s="288"/>
      <c r="H45" s="67" t="s">
        <v>89</v>
      </c>
      <c r="I45" s="84" t="s">
        <v>79</v>
      </c>
      <c r="J45" s="67" t="s">
        <v>89</v>
      </c>
      <c r="K45" s="84" t="s">
        <v>79</v>
      </c>
      <c r="L45" s="67" t="s">
        <v>89</v>
      </c>
      <c r="M45" s="84" t="s">
        <v>79</v>
      </c>
      <c r="N45" s="67" t="s">
        <v>89</v>
      </c>
      <c r="O45" s="84" t="s">
        <v>79</v>
      </c>
      <c r="P45" s="67" t="s">
        <v>89</v>
      </c>
      <c r="Q45" s="84" t="s">
        <v>79</v>
      </c>
      <c r="R45" s="67" t="s">
        <v>89</v>
      </c>
      <c r="S45" s="84" t="s">
        <v>79</v>
      </c>
    </row>
    <row r="46" spans="1:20" ht="12.75" customHeight="1">
      <c r="A46" s="85" t="s">
        <v>58</v>
      </c>
      <c r="B46" s="286" t="s">
        <v>32</v>
      </c>
      <c r="C46" s="286"/>
      <c r="D46" s="286"/>
      <c r="E46" s="286"/>
      <c r="F46" s="286"/>
      <c r="G46" s="286"/>
      <c r="H46" s="50">
        <f>IF('DADOS BÁSICOS 2º ANO'!$B$25="LUCRO PRESUMIDO",'DADOS BÁSICOS 2º ANO'!$B$29,'DADOS BÁSICOS 2º ANO'!$C$29)</f>
        <v>0.2</v>
      </c>
      <c r="I46" s="71">
        <f>I43*H46</f>
        <v>437.36</v>
      </c>
      <c r="J46" s="50">
        <f>IF('DADOS BÁSICOS 2º ANO'!$B$25="LUCRO PRESUMIDO",'DADOS BÁSICOS 2º ANO'!$B$29,'DADOS BÁSICOS 2º ANO'!$C$29)</f>
        <v>0.2</v>
      </c>
      <c r="K46" s="71">
        <f>K43*J46</f>
        <v>437.36</v>
      </c>
      <c r="L46" s="50">
        <f>IF('DADOS BÁSICOS 2º ANO'!$B$25="LUCRO PRESUMIDO",'DADOS BÁSICOS 2º ANO'!$B$29,'DADOS BÁSICOS 2º ANO'!$C$29)</f>
        <v>0.2</v>
      </c>
      <c r="M46" s="71">
        <f>M43*L46</f>
        <v>437.36</v>
      </c>
      <c r="N46" s="50">
        <f>IF('DADOS BÁSICOS 2º ANO'!$B$25="LUCRO PRESUMIDO",'DADOS BÁSICOS 2º ANO'!$B$29,'DADOS BÁSICOS 2º ANO'!$C$29)</f>
        <v>0.2</v>
      </c>
      <c r="O46" s="71">
        <f>O43*N46</f>
        <v>437.36</v>
      </c>
      <c r="P46" s="50">
        <f>IF('DADOS BÁSICOS 2º ANO'!$B$25="LUCRO PRESUMIDO",'DADOS BÁSICOS 2º ANO'!$B$29,'DADOS BÁSICOS 2º ANO'!$C$29)</f>
        <v>0.2</v>
      </c>
      <c r="Q46" s="71">
        <f>Q43*P46</f>
        <v>437.36</v>
      </c>
      <c r="R46" s="50">
        <f>IF('DADOS BÁSICOS 2º ANO'!$B$25="LUCRO PRESUMIDO",'DADOS BÁSICOS 2º ANO'!$B$29,'DADOS BÁSICOS 2º ANO'!$C$29)</f>
        <v>0.2</v>
      </c>
      <c r="S46" s="71">
        <f>S43*R46</f>
        <v>437.36</v>
      </c>
    </row>
    <row r="47" spans="1:20" ht="12.75" customHeight="1">
      <c r="A47" s="85" t="s">
        <v>60</v>
      </c>
      <c r="B47" s="286" t="s">
        <v>108</v>
      </c>
      <c r="C47" s="286"/>
      <c r="D47" s="286"/>
      <c r="E47" s="286"/>
      <c r="F47" s="286"/>
      <c r="G47" s="286"/>
      <c r="H47" s="50">
        <f>IF('DADOS BÁSICOS 2º ANO'!$B$25="LUCRO PRESUMIDO",'DADOS BÁSICOS 2º ANO'!$B$30,'DADOS BÁSICOS 2º ANO'!$C$30)</f>
        <v>2.5000000000000001E-2</v>
      </c>
      <c r="I47" s="71">
        <f>I43*H47</f>
        <v>54.67</v>
      </c>
      <c r="J47" s="50">
        <f>IF('DADOS BÁSICOS 2º ANO'!$B$25="LUCRO PRESUMIDO",'DADOS BÁSICOS 2º ANO'!$B$30,'DADOS BÁSICOS 2º ANO'!$C$30)</f>
        <v>2.5000000000000001E-2</v>
      </c>
      <c r="K47" s="71">
        <f>K43*J47</f>
        <v>54.67</v>
      </c>
      <c r="L47" s="50">
        <f>IF('DADOS BÁSICOS 2º ANO'!$B$25="LUCRO PRESUMIDO",'DADOS BÁSICOS 2º ANO'!$B$30,'DADOS BÁSICOS 2º ANO'!$C$30)</f>
        <v>2.5000000000000001E-2</v>
      </c>
      <c r="M47" s="71">
        <f>M43*L47</f>
        <v>54.67</v>
      </c>
      <c r="N47" s="50">
        <f>IF('DADOS BÁSICOS 2º ANO'!$B$25="LUCRO PRESUMIDO",'DADOS BÁSICOS 2º ANO'!$B$30,'DADOS BÁSICOS 2º ANO'!$C$30)</f>
        <v>2.5000000000000001E-2</v>
      </c>
      <c r="O47" s="71">
        <f>O43*N47</f>
        <v>54.67</v>
      </c>
      <c r="P47" s="50">
        <f>IF('DADOS BÁSICOS 2º ANO'!$B$25="LUCRO PRESUMIDO",'DADOS BÁSICOS 2º ANO'!$B$30,'DADOS BÁSICOS 2º ANO'!$C$30)</f>
        <v>2.5000000000000001E-2</v>
      </c>
      <c r="Q47" s="71">
        <f>Q43*P47</f>
        <v>54.67</v>
      </c>
      <c r="R47" s="50">
        <f>IF('DADOS BÁSICOS 2º ANO'!$B$25="LUCRO PRESUMIDO",'DADOS BÁSICOS 2º ANO'!$B$30,'DADOS BÁSICOS 2º ANO'!$C$30)</f>
        <v>2.5000000000000001E-2</v>
      </c>
      <c r="S47" s="71">
        <f>S43*R47</f>
        <v>54.67</v>
      </c>
    </row>
    <row r="48" spans="1:20" ht="17.25" customHeight="1">
      <c r="A48" s="85" t="s">
        <v>62</v>
      </c>
      <c r="B48" s="286" t="s">
        <v>109</v>
      </c>
      <c r="C48" s="286"/>
      <c r="D48" s="286"/>
      <c r="E48" s="286"/>
      <c r="F48" s="286"/>
      <c r="G48" s="286"/>
      <c r="H48" s="50">
        <f>IF('DADOS BÁSICOS 2º ANO'!$B$25="LUCRO PRESUMIDO",'DADOS BÁSICOS 2º ANO'!$B$31,'DADOS BÁSICOS 2º ANO'!$C$31)</f>
        <v>0.03</v>
      </c>
      <c r="I48" s="71">
        <f>I43*H48</f>
        <v>65.599999999999994</v>
      </c>
      <c r="J48" s="50">
        <f>IF('DADOS BÁSICOS 2º ANO'!$B$25="LUCRO PRESUMIDO",'DADOS BÁSICOS 2º ANO'!$B$31,'DADOS BÁSICOS 2º ANO'!$C$31)</f>
        <v>0.03</v>
      </c>
      <c r="K48" s="71">
        <f>K43*J48</f>
        <v>65.599999999999994</v>
      </c>
      <c r="L48" s="50">
        <f>IF('DADOS BÁSICOS 2º ANO'!$B$25="LUCRO PRESUMIDO",'DADOS BÁSICOS 2º ANO'!$B$31,'DADOS BÁSICOS 2º ANO'!$C$31)</f>
        <v>0.03</v>
      </c>
      <c r="M48" s="71">
        <f>M43*L48</f>
        <v>65.599999999999994</v>
      </c>
      <c r="N48" s="50">
        <f>IF('DADOS BÁSICOS 2º ANO'!$B$25="LUCRO PRESUMIDO",'DADOS BÁSICOS 2º ANO'!$B$31,'DADOS BÁSICOS 2º ANO'!$C$31)</f>
        <v>0.03</v>
      </c>
      <c r="O48" s="71">
        <f>O43*N48</f>
        <v>65.599999999999994</v>
      </c>
      <c r="P48" s="50">
        <f>IF('DADOS BÁSICOS 2º ANO'!$B$25="LUCRO PRESUMIDO",'DADOS BÁSICOS 2º ANO'!$B$31,'DADOS BÁSICOS 2º ANO'!$C$31)</f>
        <v>0.03</v>
      </c>
      <c r="Q48" s="71">
        <f>Q43*P48</f>
        <v>65.599999999999994</v>
      </c>
      <c r="R48" s="50">
        <f>IF('DADOS BÁSICOS 2º ANO'!$B$25="LUCRO PRESUMIDO",'DADOS BÁSICOS 2º ANO'!$B$31,'DADOS BÁSICOS 2º ANO'!$C$31)</f>
        <v>0.03</v>
      </c>
      <c r="S48" s="71">
        <f>S43*R48</f>
        <v>65.599999999999994</v>
      </c>
    </row>
    <row r="49" spans="1:20" ht="12.75" customHeight="1">
      <c r="A49" s="85" t="s">
        <v>64</v>
      </c>
      <c r="B49" s="286" t="s">
        <v>35</v>
      </c>
      <c r="C49" s="286"/>
      <c r="D49" s="286"/>
      <c r="E49" s="286"/>
      <c r="F49" s="286"/>
      <c r="G49" s="286"/>
      <c r="H49" s="50">
        <f>IF('DADOS BÁSICOS 2º ANO'!$B$25="LUCRO PRESUMIDO",'DADOS BÁSICOS 2º ANO'!$B$32,'DADOS BÁSICOS 2º ANO'!$C$32)</f>
        <v>1.4999999999999999E-2</v>
      </c>
      <c r="I49" s="71">
        <f>I43*H49</f>
        <v>32.799999999999997</v>
      </c>
      <c r="J49" s="50">
        <f>IF('DADOS BÁSICOS 2º ANO'!$B$25="LUCRO PRESUMIDO",'DADOS BÁSICOS 2º ANO'!$B$32,'DADOS BÁSICOS 2º ANO'!$C$32)</f>
        <v>1.4999999999999999E-2</v>
      </c>
      <c r="K49" s="71">
        <f>K43*J49</f>
        <v>32.799999999999997</v>
      </c>
      <c r="L49" s="50">
        <f>IF('DADOS BÁSICOS 2º ANO'!$B$25="LUCRO PRESUMIDO",'DADOS BÁSICOS 2º ANO'!$B$32,'DADOS BÁSICOS 2º ANO'!$C$32)</f>
        <v>1.4999999999999999E-2</v>
      </c>
      <c r="M49" s="71">
        <f>M43*L49</f>
        <v>32.799999999999997</v>
      </c>
      <c r="N49" s="50">
        <f>IF('DADOS BÁSICOS 2º ANO'!$B$25="LUCRO PRESUMIDO",'DADOS BÁSICOS 2º ANO'!$B$32,'DADOS BÁSICOS 2º ANO'!$C$32)</f>
        <v>1.4999999999999999E-2</v>
      </c>
      <c r="O49" s="71">
        <f>O43*N49</f>
        <v>32.799999999999997</v>
      </c>
      <c r="P49" s="50">
        <f>IF('DADOS BÁSICOS 2º ANO'!$B$25="LUCRO PRESUMIDO",'DADOS BÁSICOS 2º ANO'!$B$32,'DADOS BÁSICOS 2º ANO'!$C$32)</f>
        <v>1.4999999999999999E-2</v>
      </c>
      <c r="Q49" s="71">
        <f>Q43*P49</f>
        <v>32.799999999999997</v>
      </c>
      <c r="R49" s="50">
        <f>IF('DADOS BÁSICOS 2º ANO'!$B$25="LUCRO PRESUMIDO",'DADOS BÁSICOS 2º ANO'!$B$32,'DADOS BÁSICOS 2º ANO'!$C$32)</f>
        <v>1.4999999999999999E-2</v>
      </c>
      <c r="S49" s="71">
        <f>S43*R49</f>
        <v>32.799999999999997</v>
      </c>
    </row>
    <row r="50" spans="1:20" ht="12.75" customHeight="1">
      <c r="A50" s="85" t="s">
        <v>66</v>
      </c>
      <c r="B50" s="286" t="s">
        <v>36</v>
      </c>
      <c r="C50" s="286"/>
      <c r="D50" s="286"/>
      <c r="E50" s="286"/>
      <c r="F50" s="286"/>
      <c r="G50" s="286"/>
      <c r="H50" s="50">
        <f>IF('DADOS BÁSICOS 2º ANO'!$B$25="LUCRO PRESUMIDO",'DADOS BÁSICOS 2º ANO'!$B$33,'DADOS BÁSICOS 2º ANO'!$C$33)</f>
        <v>0.01</v>
      </c>
      <c r="I50" s="71">
        <f>I43*H50</f>
        <v>21.87</v>
      </c>
      <c r="J50" s="50">
        <f>IF('DADOS BÁSICOS 2º ANO'!$B$25="LUCRO PRESUMIDO",'DADOS BÁSICOS 2º ANO'!$B$33,'DADOS BÁSICOS 2º ANO'!$C$33)</f>
        <v>0.01</v>
      </c>
      <c r="K50" s="71">
        <f>K43*J50</f>
        <v>21.87</v>
      </c>
      <c r="L50" s="50">
        <f>IF('DADOS BÁSICOS 2º ANO'!$B$25="LUCRO PRESUMIDO",'DADOS BÁSICOS 2º ANO'!$B$33,'DADOS BÁSICOS 2º ANO'!$C$33)</f>
        <v>0.01</v>
      </c>
      <c r="M50" s="71">
        <f>M43*L50</f>
        <v>21.87</v>
      </c>
      <c r="N50" s="50">
        <f>IF('DADOS BÁSICOS 2º ANO'!$B$25="LUCRO PRESUMIDO",'DADOS BÁSICOS 2º ANO'!$B$33,'DADOS BÁSICOS 2º ANO'!$C$33)</f>
        <v>0.01</v>
      </c>
      <c r="O50" s="71">
        <f>O43*N50</f>
        <v>21.87</v>
      </c>
      <c r="P50" s="50">
        <f>IF('DADOS BÁSICOS 2º ANO'!$B$25="LUCRO PRESUMIDO",'DADOS BÁSICOS 2º ANO'!$B$33,'DADOS BÁSICOS 2º ANO'!$C$33)</f>
        <v>0.01</v>
      </c>
      <c r="Q50" s="71">
        <f>Q43*P50</f>
        <v>21.87</v>
      </c>
      <c r="R50" s="50">
        <f>IF('DADOS BÁSICOS 2º ANO'!$B$25="LUCRO PRESUMIDO",'DADOS BÁSICOS 2º ANO'!$B$33,'DADOS BÁSICOS 2º ANO'!$C$33)</f>
        <v>0.01</v>
      </c>
      <c r="S50" s="71">
        <f>S43*R50</f>
        <v>21.87</v>
      </c>
    </row>
    <row r="51" spans="1:20" ht="12.75" customHeight="1">
      <c r="A51" s="85" t="s">
        <v>84</v>
      </c>
      <c r="B51" s="286" t="s">
        <v>37</v>
      </c>
      <c r="C51" s="286"/>
      <c r="D51" s="286"/>
      <c r="E51" s="286"/>
      <c r="F51" s="286"/>
      <c r="G51" s="286"/>
      <c r="H51" s="50">
        <f>IF('DADOS BÁSICOS 2º ANO'!$B$25="LUCRO PRESUMIDO",'DADOS BÁSICOS 2º ANO'!$B$34,'DADOS BÁSICOS 2º ANO'!$C$34)</f>
        <v>6.0000000000000001E-3</v>
      </c>
      <c r="I51" s="71">
        <f>I43*H51</f>
        <v>13.12</v>
      </c>
      <c r="J51" s="50">
        <f>IF('DADOS BÁSICOS 2º ANO'!$B$25="LUCRO PRESUMIDO",'DADOS BÁSICOS 2º ANO'!$B$34,'DADOS BÁSICOS 2º ANO'!$C$34)</f>
        <v>6.0000000000000001E-3</v>
      </c>
      <c r="K51" s="71">
        <f>K43*J51</f>
        <v>13.12</v>
      </c>
      <c r="L51" s="50">
        <f>IF('DADOS BÁSICOS 2º ANO'!$B$25="LUCRO PRESUMIDO",'DADOS BÁSICOS 2º ANO'!$B$34,'DADOS BÁSICOS 2º ANO'!$C$34)</f>
        <v>6.0000000000000001E-3</v>
      </c>
      <c r="M51" s="71">
        <f>M43*L51</f>
        <v>13.12</v>
      </c>
      <c r="N51" s="50">
        <f>IF('DADOS BÁSICOS 2º ANO'!$B$25="LUCRO PRESUMIDO",'DADOS BÁSICOS 2º ANO'!$B$34,'DADOS BÁSICOS 2º ANO'!$C$34)</f>
        <v>6.0000000000000001E-3</v>
      </c>
      <c r="O51" s="71">
        <f>O43*N51</f>
        <v>13.12</v>
      </c>
      <c r="P51" s="50">
        <f>IF('DADOS BÁSICOS 2º ANO'!$B$25="LUCRO PRESUMIDO",'DADOS BÁSICOS 2º ANO'!$B$34,'DADOS BÁSICOS 2º ANO'!$C$34)</f>
        <v>6.0000000000000001E-3</v>
      </c>
      <c r="Q51" s="71">
        <f>Q43*P51</f>
        <v>13.12</v>
      </c>
      <c r="R51" s="50">
        <f>IF('DADOS BÁSICOS 2º ANO'!$B$25="LUCRO PRESUMIDO",'DADOS BÁSICOS 2º ANO'!$B$34,'DADOS BÁSICOS 2º ANO'!$C$34)</f>
        <v>6.0000000000000001E-3</v>
      </c>
      <c r="S51" s="71">
        <f>S43*R51</f>
        <v>13.12</v>
      </c>
    </row>
    <row r="52" spans="1:20" ht="12.75" customHeight="1">
      <c r="A52" s="85" t="s">
        <v>110</v>
      </c>
      <c r="B52" s="286" t="s">
        <v>38</v>
      </c>
      <c r="C52" s="286"/>
      <c r="D52" s="286"/>
      <c r="E52" s="286"/>
      <c r="F52" s="286"/>
      <c r="G52" s="286"/>
      <c r="H52" s="50">
        <f>IF('DADOS BÁSICOS 2º ANO'!$B$25="LUCRO PRESUMIDO",'DADOS BÁSICOS 2º ANO'!$B$35,'DADOS BÁSICOS 2º ANO'!$C$35)</f>
        <v>2E-3</v>
      </c>
      <c r="I52" s="71">
        <f>I43*H52</f>
        <v>4.37</v>
      </c>
      <c r="J52" s="50">
        <f>IF('DADOS BÁSICOS 2º ANO'!$B$25="LUCRO PRESUMIDO",'DADOS BÁSICOS 2º ANO'!$B$35,'DADOS BÁSICOS 2º ANO'!$C$35)</f>
        <v>2E-3</v>
      </c>
      <c r="K52" s="71">
        <f>K43*J52</f>
        <v>4.37</v>
      </c>
      <c r="L52" s="50">
        <f>IF('DADOS BÁSICOS 2º ANO'!$B$25="LUCRO PRESUMIDO",'DADOS BÁSICOS 2º ANO'!$B$35,'DADOS BÁSICOS 2º ANO'!$C$35)</f>
        <v>2E-3</v>
      </c>
      <c r="M52" s="71">
        <f>M43*L52</f>
        <v>4.37</v>
      </c>
      <c r="N52" s="50">
        <f>IF('DADOS BÁSICOS 2º ANO'!$B$25="LUCRO PRESUMIDO",'DADOS BÁSICOS 2º ANO'!$B$35,'DADOS BÁSICOS 2º ANO'!$C$35)</f>
        <v>2E-3</v>
      </c>
      <c r="O52" s="71">
        <f>O43*N52</f>
        <v>4.37</v>
      </c>
      <c r="P52" s="50">
        <f>IF('DADOS BÁSICOS 2º ANO'!$B$25="LUCRO PRESUMIDO",'DADOS BÁSICOS 2º ANO'!$B$35,'DADOS BÁSICOS 2º ANO'!$C$35)</f>
        <v>2E-3</v>
      </c>
      <c r="Q52" s="71">
        <f>Q43*P52</f>
        <v>4.37</v>
      </c>
      <c r="R52" s="50">
        <f>IF('DADOS BÁSICOS 2º ANO'!$B$25="LUCRO PRESUMIDO",'DADOS BÁSICOS 2º ANO'!$B$35,'DADOS BÁSICOS 2º ANO'!$C$35)</f>
        <v>2E-3</v>
      </c>
      <c r="S52" s="71">
        <f>S43*R52</f>
        <v>4.37</v>
      </c>
    </row>
    <row r="53" spans="1:20" ht="12.75" customHeight="1">
      <c r="A53" s="86" t="s">
        <v>111</v>
      </c>
      <c r="B53" s="286" t="s">
        <v>39</v>
      </c>
      <c r="C53" s="286"/>
      <c r="D53" s="286"/>
      <c r="E53" s="286"/>
      <c r="F53" s="286"/>
      <c r="G53" s="286"/>
      <c r="H53" s="50">
        <f>IF('DADOS BÁSICOS 2º ANO'!$B$25="LUCRO PRESUMIDO",'DADOS BÁSICOS 2º ANO'!$B$36,'DADOS BÁSICOS 2º ANO'!$C$36)</f>
        <v>0.08</v>
      </c>
      <c r="I53" s="71">
        <f>I43*H53</f>
        <v>174.94</v>
      </c>
      <c r="J53" s="50">
        <f>IF('DADOS BÁSICOS 2º ANO'!$B$25="LUCRO PRESUMIDO",'DADOS BÁSICOS 2º ANO'!$B$36,'DADOS BÁSICOS 2º ANO'!$C$36)</f>
        <v>0.08</v>
      </c>
      <c r="K53" s="71">
        <f>K43*J53</f>
        <v>174.94</v>
      </c>
      <c r="L53" s="50">
        <f>IF('DADOS BÁSICOS 2º ANO'!$B$25="LUCRO PRESUMIDO",'DADOS BÁSICOS 2º ANO'!$B$36,'DADOS BÁSICOS 2º ANO'!$C$36)</f>
        <v>0.08</v>
      </c>
      <c r="M53" s="71">
        <f>M43*L53</f>
        <v>174.94</v>
      </c>
      <c r="N53" s="50">
        <f>IF('DADOS BÁSICOS 2º ANO'!$B$25="LUCRO PRESUMIDO",'DADOS BÁSICOS 2º ANO'!$B$36,'DADOS BÁSICOS 2º ANO'!$C$36)</f>
        <v>0.08</v>
      </c>
      <c r="O53" s="71">
        <f>O43*N53</f>
        <v>174.94</v>
      </c>
      <c r="P53" s="50">
        <f>IF('DADOS BÁSICOS 2º ANO'!$B$25="LUCRO PRESUMIDO",'DADOS BÁSICOS 2º ANO'!$B$36,'DADOS BÁSICOS 2º ANO'!$C$36)</f>
        <v>0.08</v>
      </c>
      <c r="Q53" s="71">
        <f>Q43*P53</f>
        <v>174.94</v>
      </c>
      <c r="R53" s="50">
        <f>IF('DADOS BÁSICOS 2º ANO'!$B$25="LUCRO PRESUMIDO",'DADOS BÁSICOS 2º ANO'!$B$36,'DADOS BÁSICOS 2º ANO'!$C$36)</f>
        <v>0.08</v>
      </c>
      <c r="S53" s="71">
        <f>S43*R53</f>
        <v>174.94</v>
      </c>
    </row>
    <row r="54" spans="1:20" ht="18.75" customHeight="1">
      <c r="A54" s="287" t="s">
        <v>85</v>
      </c>
      <c r="B54" s="287"/>
      <c r="C54" s="287"/>
      <c r="D54" s="287"/>
      <c r="E54" s="287"/>
      <c r="F54" s="287"/>
      <c r="G54" s="287"/>
      <c r="H54" s="87">
        <f>SUM(H46:H53)</f>
        <v>0.36799999999999999</v>
      </c>
      <c r="I54" s="80">
        <f t="shared" ref="I54" si="63">SUM(I46:I53)</f>
        <v>804.73</v>
      </c>
      <c r="J54" s="87">
        <f t="shared" ref="J54:S54" si="64">SUM(J46:J53)</f>
        <v>0.36799999999999999</v>
      </c>
      <c r="K54" s="80">
        <f t="shared" si="64"/>
        <v>804.73</v>
      </c>
      <c r="L54" s="87">
        <f t="shared" si="64"/>
        <v>0.36799999999999999</v>
      </c>
      <c r="M54" s="80">
        <f t="shared" si="64"/>
        <v>804.73</v>
      </c>
      <c r="N54" s="87">
        <f t="shared" si="64"/>
        <v>0.36799999999999999</v>
      </c>
      <c r="O54" s="80">
        <f t="shared" si="64"/>
        <v>804.73</v>
      </c>
      <c r="P54" s="87">
        <f t="shared" si="64"/>
        <v>0.36799999999999999</v>
      </c>
      <c r="Q54" s="80">
        <f t="shared" si="64"/>
        <v>804.73</v>
      </c>
      <c r="R54" s="87">
        <f t="shared" si="64"/>
        <v>0.36799999999999999</v>
      </c>
      <c r="S54" s="80">
        <f t="shared" si="64"/>
        <v>804.73</v>
      </c>
    </row>
    <row r="55" spans="1:20" ht="33" customHeight="1">
      <c r="A55" s="88" t="s">
        <v>112</v>
      </c>
      <c r="B55" s="88"/>
      <c r="C55" s="88"/>
      <c r="D55" s="88"/>
      <c r="E55" s="88"/>
      <c r="F55" s="88"/>
      <c r="G55" s="88"/>
      <c r="H55" s="89"/>
      <c r="I55" s="90"/>
      <c r="J55" s="89"/>
      <c r="K55" s="90"/>
      <c r="L55" s="89"/>
      <c r="M55" s="90"/>
      <c r="N55" s="89"/>
      <c r="O55" s="90"/>
      <c r="P55" s="89"/>
      <c r="Q55" s="90"/>
      <c r="R55" s="89"/>
      <c r="S55" s="90"/>
    </row>
    <row r="56" spans="1:20" ht="17.25" customHeight="1">
      <c r="A56" s="83" t="s">
        <v>113</v>
      </c>
      <c r="B56" s="316" t="s">
        <v>114</v>
      </c>
      <c r="C56" s="316"/>
      <c r="D56" s="316"/>
      <c r="E56" s="316"/>
      <c r="F56" s="316"/>
      <c r="G56" s="316"/>
      <c r="H56" s="39"/>
      <c r="I56" s="91" t="s">
        <v>79</v>
      </c>
      <c r="J56" s="39"/>
      <c r="K56" s="91" t="s">
        <v>79</v>
      </c>
      <c r="L56" s="39"/>
      <c r="M56" s="91" t="s">
        <v>79</v>
      </c>
      <c r="N56" s="39"/>
      <c r="O56" s="91" t="s">
        <v>79</v>
      </c>
      <c r="P56" s="39"/>
      <c r="Q56" s="91" t="s">
        <v>79</v>
      </c>
      <c r="R56" s="39"/>
      <c r="S56" s="91" t="s">
        <v>79</v>
      </c>
    </row>
    <row r="57" spans="1:20">
      <c r="A57" s="69" t="s">
        <v>58</v>
      </c>
      <c r="B57" s="294" t="s">
        <v>115</v>
      </c>
      <c r="C57" s="294"/>
      <c r="D57" s="294"/>
      <c r="E57" s="294"/>
      <c r="F57" s="294"/>
      <c r="G57" s="294"/>
      <c r="H57" s="92"/>
      <c r="I57" s="317">
        <f>IF((H58*H59)-(I23*H60)&gt;0,((H58*H59)-(I23*H60)),0)</f>
        <v>115.27</v>
      </c>
      <c r="J57" s="92"/>
      <c r="K57" s="381">
        <f>IF((J58*J59)-(K23*J60)&gt;0,((J58*J59)-(K23*J60)),0)</f>
        <v>66.87</v>
      </c>
      <c r="L57" s="92"/>
      <c r="M57" s="381">
        <f>IF((L58*L59)-(M23*L60)&gt;0,((L58*L59)-(M23*L60)),0)</f>
        <v>104.27</v>
      </c>
      <c r="N57" s="92"/>
      <c r="O57" s="381">
        <f>IF((N58*N59)-(O23*N60)&gt;0,((N58*N59)-(O23*N60)),0)</f>
        <v>106.47</v>
      </c>
      <c r="P57" s="92"/>
      <c r="Q57" s="381">
        <f>IF((P58*P59)-(Q23*P60)&gt;0,((P58*P59)-(Q23*P60)),0)</f>
        <v>80.069999999999993</v>
      </c>
      <c r="R57" s="92"/>
      <c r="S57" s="381">
        <f>IF((R58*R59)-(S23*R60)&gt;0,((R58*R59)-(S23*R60)),0)</f>
        <v>106.47</v>
      </c>
    </row>
    <row r="58" spans="1:20" ht="24.75" customHeight="1">
      <c r="A58" s="69"/>
      <c r="B58" s="286" t="s">
        <v>116</v>
      </c>
      <c r="C58" s="286"/>
      <c r="D58" s="286"/>
      <c r="E58" s="286"/>
      <c r="F58" s="286"/>
      <c r="G58" s="286"/>
      <c r="H58" s="93">
        <f>'DADOS BÁSICOS 2º ANO'!P8</f>
        <v>4.5</v>
      </c>
      <c r="I58" s="318"/>
      <c r="J58" s="93">
        <f>'DADOS BÁSICOS 2º ANO'!P9</f>
        <v>3.4</v>
      </c>
      <c r="K58" s="381"/>
      <c r="L58" s="93">
        <f>'DADOS BÁSICOS 2º ANO'!P10</f>
        <v>4.25</v>
      </c>
      <c r="M58" s="381"/>
      <c r="N58" s="93">
        <f>'DADOS BÁSICOS 2º ANO'!P11</f>
        <v>4.3</v>
      </c>
      <c r="O58" s="381"/>
      <c r="P58" s="93">
        <f>'DADOS BÁSICOS 2º ANO'!P12</f>
        <v>3.7</v>
      </c>
      <c r="Q58" s="381"/>
      <c r="R58" s="93">
        <f>'DADOS BÁSICOS 2º ANO'!P13</f>
        <v>4.3</v>
      </c>
      <c r="S58" s="381"/>
    </row>
    <row r="59" spans="1:20" ht="12.75" customHeight="1">
      <c r="A59" s="94"/>
      <c r="B59" s="286" t="s">
        <v>117</v>
      </c>
      <c r="C59" s="286"/>
      <c r="D59" s="286"/>
      <c r="E59" s="286"/>
      <c r="F59" s="286"/>
      <c r="G59" s="286"/>
      <c r="H59" s="95">
        <f>'DADOS BÁSICOS 2º ANO'!$O8</f>
        <v>44</v>
      </c>
      <c r="I59" s="318"/>
      <c r="J59" s="95">
        <f>'DADOS BÁSICOS 2º ANO'!$O9</f>
        <v>44</v>
      </c>
      <c r="K59" s="381"/>
      <c r="L59" s="95">
        <f>'DADOS BÁSICOS 2º ANO'!$O10</f>
        <v>44</v>
      </c>
      <c r="M59" s="381"/>
      <c r="N59" s="95">
        <f>'DADOS BÁSICOS 2º ANO'!$O11</f>
        <v>44</v>
      </c>
      <c r="O59" s="381"/>
      <c r="P59" s="95">
        <f>'DADOS BÁSICOS 2º ANO'!$O12</f>
        <v>44</v>
      </c>
      <c r="Q59" s="381"/>
      <c r="R59" s="95">
        <f>'DADOS BÁSICOS 2º ANO'!$O13</f>
        <v>44</v>
      </c>
      <c r="S59" s="381"/>
    </row>
    <row r="60" spans="1:20" ht="12.75" customHeight="1">
      <c r="A60" s="69"/>
      <c r="B60" s="286" t="s">
        <v>118</v>
      </c>
      <c r="C60" s="286"/>
      <c r="D60" s="286"/>
      <c r="E60" s="286"/>
      <c r="F60" s="286"/>
      <c r="G60" s="286"/>
      <c r="H60" s="96">
        <v>0.06</v>
      </c>
      <c r="I60" s="319"/>
      <c r="J60" s="96">
        <v>0.06</v>
      </c>
      <c r="K60" s="381"/>
      <c r="L60" s="96">
        <v>0.06</v>
      </c>
      <c r="M60" s="381"/>
      <c r="N60" s="96">
        <v>0.06</v>
      </c>
      <c r="O60" s="381"/>
      <c r="P60" s="96">
        <v>0.06</v>
      </c>
      <c r="Q60" s="381"/>
      <c r="R60" s="96">
        <v>0.06</v>
      </c>
      <c r="S60" s="381"/>
    </row>
    <row r="61" spans="1:20" ht="15" customHeight="1">
      <c r="A61" s="69" t="s">
        <v>60</v>
      </c>
      <c r="B61" s="286" t="s">
        <v>119</v>
      </c>
      <c r="C61" s="286"/>
      <c r="D61" s="286"/>
      <c r="E61" s="286"/>
      <c r="F61" s="286"/>
      <c r="G61" s="286"/>
      <c r="H61" s="97"/>
      <c r="I61" s="313">
        <f>H62-(H62*H64)</f>
        <v>360</v>
      </c>
      <c r="J61" s="97"/>
      <c r="K61" s="380">
        <f>J62-(J62*J64)</f>
        <v>360</v>
      </c>
      <c r="L61" s="97"/>
      <c r="M61" s="380">
        <f>L62-(L62*L64)</f>
        <v>360</v>
      </c>
      <c r="N61" s="97"/>
      <c r="O61" s="380">
        <f>N62-(N62*N64)</f>
        <v>360</v>
      </c>
      <c r="P61" s="97"/>
      <c r="Q61" s="380">
        <f>P62-(P62*P64)</f>
        <v>360</v>
      </c>
      <c r="R61" s="97"/>
      <c r="S61" s="380">
        <f>R62-(R62*R64)</f>
        <v>360</v>
      </c>
    </row>
    <row r="62" spans="1:20" ht="15" customHeight="1">
      <c r="A62" s="69"/>
      <c r="B62" s="286" t="s">
        <v>256</v>
      </c>
      <c r="C62" s="286"/>
      <c r="D62" s="286"/>
      <c r="E62" s="286"/>
      <c r="F62" s="286"/>
      <c r="G62" s="286"/>
      <c r="H62" s="98">
        <f>'DADOS BÁSICOS 2º ANO'!I8</f>
        <v>450</v>
      </c>
      <c r="I62" s="314"/>
      <c r="J62" s="98">
        <f>'DADOS BÁSICOS 2º ANO'!I9</f>
        <v>450</v>
      </c>
      <c r="K62" s="380"/>
      <c r="L62" s="98">
        <f>'DADOS BÁSICOS 2º ANO'!I10</f>
        <v>450</v>
      </c>
      <c r="M62" s="380"/>
      <c r="N62" s="98">
        <f>'DADOS BÁSICOS 2º ANO'!I11</f>
        <v>450</v>
      </c>
      <c r="O62" s="380"/>
      <c r="P62" s="98">
        <f>'DADOS BÁSICOS 2º ANO'!I12</f>
        <v>450</v>
      </c>
      <c r="Q62" s="380"/>
      <c r="R62" s="98">
        <f>'DADOS BÁSICOS 2º ANO'!I13</f>
        <v>450</v>
      </c>
      <c r="S62" s="380"/>
      <c r="T62" s="99"/>
    </row>
    <row r="63" spans="1:20" ht="15" customHeight="1">
      <c r="A63" s="69"/>
      <c r="B63" s="286" t="s">
        <v>258</v>
      </c>
      <c r="C63" s="286"/>
      <c r="D63" s="286"/>
      <c r="E63" s="286"/>
      <c r="F63" s="286"/>
      <c r="G63" s="286"/>
      <c r="H63" s="100"/>
      <c r="I63" s="314"/>
      <c r="J63" s="100"/>
      <c r="K63" s="380"/>
      <c r="L63" s="100"/>
      <c r="M63" s="380"/>
      <c r="N63" s="100"/>
      <c r="O63" s="380"/>
      <c r="P63" s="100"/>
      <c r="Q63" s="380"/>
      <c r="R63" s="100"/>
      <c r="S63" s="380"/>
      <c r="T63" s="99"/>
    </row>
    <row r="64" spans="1:20" ht="15" customHeight="1">
      <c r="A64" s="69"/>
      <c r="B64" s="286" t="s">
        <v>257</v>
      </c>
      <c r="C64" s="286"/>
      <c r="D64" s="286"/>
      <c r="E64" s="286"/>
      <c r="F64" s="286"/>
      <c r="G64" s="286"/>
      <c r="H64" s="101">
        <f>'DADOS BÁSICOS 2º ANO'!$N8</f>
        <v>0.2</v>
      </c>
      <c r="I64" s="315"/>
      <c r="J64" s="101">
        <f>'DADOS BÁSICOS 2º ANO'!$N9</f>
        <v>0.2</v>
      </c>
      <c r="K64" s="380"/>
      <c r="L64" s="101">
        <f>'DADOS BÁSICOS 2º ANO'!$N10</f>
        <v>0.2</v>
      </c>
      <c r="M64" s="380"/>
      <c r="N64" s="101">
        <f>'DADOS BÁSICOS 2º ANO'!$N11</f>
        <v>0.2</v>
      </c>
      <c r="O64" s="380"/>
      <c r="P64" s="101">
        <f>'DADOS BÁSICOS 2º ANO'!$N12</f>
        <v>0.2</v>
      </c>
      <c r="Q64" s="380"/>
      <c r="R64" s="101">
        <f>'DADOS BÁSICOS 2º ANO'!$N13</f>
        <v>0.2</v>
      </c>
      <c r="S64" s="380"/>
    </row>
    <row r="65" spans="1:19" ht="17.25" customHeight="1">
      <c r="A65" s="69" t="s">
        <v>62</v>
      </c>
      <c r="B65" s="286" t="str">
        <f>'DADOS BÁSICOS 2º ANO'!$J$7</f>
        <v>Auxílio Saúde</v>
      </c>
      <c r="C65" s="286"/>
      <c r="D65" s="286"/>
      <c r="E65" s="286"/>
      <c r="F65" s="286"/>
      <c r="G65" s="286"/>
      <c r="H65" s="102"/>
      <c r="I65" s="57">
        <f>'DADOS BÁSICOS 2º ANO'!$J$8</f>
        <v>64</v>
      </c>
      <c r="J65" s="102"/>
      <c r="K65" s="57">
        <f>'DADOS BÁSICOS 2º ANO'!$J$9</f>
        <v>64</v>
      </c>
      <c r="L65" s="102"/>
      <c r="M65" s="57">
        <f>'DADOS BÁSICOS 2º ANO'!$J$9</f>
        <v>64</v>
      </c>
      <c r="N65" s="102"/>
      <c r="O65" s="57">
        <f>'DADOS BÁSICOS 2º ANO'!$J$9</f>
        <v>64</v>
      </c>
      <c r="P65" s="102"/>
      <c r="Q65" s="57">
        <f>'DADOS BÁSICOS 2º ANO'!$J$9</f>
        <v>64</v>
      </c>
      <c r="R65" s="102"/>
      <c r="S65" s="57">
        <f>'DADOS BÁSICOS 2º ANO'!$J$9</f>
        <v>64</v>
      </c>
    </row>
    <row r="66" spans="1:19" ht="16" customHeight="1">
      <c r="A66" s="69" t="s">
        <v>64</v>
      </c>
      <c r="B66" s="286" t="str">
        <f>'DADOS BÁSICOS 2º ANO'!$K$7</f>
        <v>Benefício Familiar</v>
      </c>
      <c r="C66" s="286"/>
      <c r="D66" s="286"/>
      <c r="E66" s="286"/>
      <c r="F66" s="286"/>
      <c r="G66" s="286"/>
      <c r="H66" s="103"/>
      <c r="I66" s="104">
        <f>'DADOS BÁSICOS 2º ANO'!$K$8</f>
        <v>21</v>
      </c>
      <c r="J66" s="103"/>
      <c r="K66" s="104">
        <f>'DADOS BÁSICOS 2º ANO'!$K$9</f>
        <v>21</v>
      </c>
      <c r="L66" s="103"/>
      <c r="M66" s="104">
        <f>'DADOS BÁSICOS 2º ANO'!$K$9</f>
        <v>21</v>
      </c>
      <c r="N66" s="103"/>
      <c r="O66" s="104">
        <f>'DADOS BÁSICOS 2º ANO'!$K$9</f>
        <v>21</v>
      </c>
      <c r="P66" s="103"/>
      <c r="Q66" s="104">
        <f>'DADOS BÁSICOS 2º ANO'!$K$9</f>
        <v>21</v>
      </c>
      <c r="R66" s="103"/>
      <c r="S66" s="104">
        <f>'DADOS BÁSICOS 2º ANO'!$K$9</f>
        <v>21</v>
      </c>
    </row>
    <row r="67" spans="1:19" ht="15" customHeight="1">
      <c r="A67" s="69" t="s">
        <v>66</v>
      </c>
      <c r="B67" s="286" t="str">
        <f>'DADOS BÁSICOS 2º ANO'!$L$7</f>
        <v>Fundo de Fomação Profissional</v>
      </c>
      <c r="C67" s="286"/>
      <c r="D67" s="286"/>
      <c r="E67" s="286"/>
      <c r="F67" s="286"/>
      <c r="G67" s="286"/>
      <c r="H67" s="102"/>
      <c r="I67" s="104">
        <f>'DADOS BÁSICOS 2º ANO'!$L$8</f>
        <v>21</v>
      </c>
      <c r="J67" s="102"/>
      <c r="K67" s="104">
        <f>'DADOS BÁSICOS 2º ANO'!$L$9</f>
        <v>21</v>
      </c>
      <c r="L67" s="102"/>
      <c r="M67" s="104">
        <f>'DADOS BÁSICOS 2º ANO'!$L$9</f>
        <v>21</v>
      </c>
      <c r="N67" s="102"/>
      <c r="O67" s="104">
        <f>'DADOS BÁSICOS 2º ANO'!$L$9</f>
        <v>21</v>
      </c>
      <c r="P67" s="102"/>
      <c r="Q67" s="104">
        <f>'DADOS BÁSICOS 2º ANO'!$L$9</f>
        <v>21</v>
      </c>
      <c r="R67" s="102"/>
      <c r="S67" s="104">
        <f>'DADOS BÁSICOS 2º ANO'!$L$9</f>
        <v>21</v>
      </c>
    </row>
    <row r="68" spans="1:19" ht="18" customHeight="1">
      <c r="A68" s="72" t="s">
        <v>84</v>
      </c>
      <c r="B68" s="312" t="s">
        <v>200</v>
      </c>
      <c r="C68" s="312"/>
      <c r="D68" s="312"/>
      <c r="E68" s="312"/>
      <c r="F68" s="312"/>
      <c r="G68" s="312"/>
      <c r="H68" s="105">
        <f>1/12</f>
        <v>8.3299999999999999E-2</v>
      </c>
      <c r="I68" s="107">
        <f>I61*H68</f>
        <v>29.99</v>
      </c>
      <c r="J68" s="105">
        <f t="shared" ref="J68" si="65">1/12</f>
        <v>8.3299999999999999E-2</v>
      </c>
      <c r="K68" s="107">
        <f t="shared" ref="K68" si="66">K61*J68</f>
        <v>29.99</v>
      </c>
      <c r="L68" s="105">
        <f t="shared" ref="L68" si="67">1/12</f>
        <v>8.3299999999999999E-2</v>
      </c>
      <c r="M68" s="107">
        <f t="shared" ref="M68" si="68">M61*L68</f>
        <v>29.99</v>
      </c>
      <c r="N68" s="105">
        <f t="shared" ref="N68" si="69">1/12</f>
        <v>8.3299999999999999E-2</v>
      </c>
      <c r="O68" s="107">
        <f t="shared" ref="O68" si="70">O61*N68</f>
        <v>29.99</v>
      </c>
      <c r="P68" s="105">
        <f t="shared" ref="P68" si="71">1/12</f>
        <v>8.3299999999999999E-2</v>
      </c>
      <c r="Q68" s="107">
        <f t="shared" ref="Q68" si="72">Q61*P68</f>
        <v>29.99</v>
      </c>
      <c r="R68" s="105">
        <f t="shared" ref="R68" si="73">1/12</f>
        <v>8.3299999999999999E-2</v>
      </c>
      <c r="S68" s="107">
        <f t="shared" ref="S68" si="74">S61*R68</f>
        <v>29.99</v>
      </c>
    </row>
    <row r="69" spans="1:19" ht="18" customHeight="1">
      <c r="A69" s="72" t="s">
        <v>268</v>
      </c>
      <c r="B69" s="312" t="s">
        <v>269</v>
      </c>
      <c r="C69" s="312"/>
      <c r="D69" s="312"/>
      <c r="E69" s="312"/>
      <c r="F69" s="312"/>
      <c r="G69" s="312"/>
      <c r="H69" s="105">
        <v>0</v>
      </c>
      <c r="I69" s="107">
        <f>I61*H69</f>
        <v>0</v>
      </c>
      <c r="J69" s="105">
        <v>0</v>
      </c>
      <c r="K69" s="107">
        <f t="shared" ref="K69" si="75">K61*J69</f>
        <v>0</v>
      </c>
      <c r="L69" s="105">
        <v>0</v>
      </c>
      <c r="M69" s="107">
        <f t="shared" ref="M69" si="76">M61*L69</f>
        <v>0</v>
      </c>
      <c r="N69" s="105">
        <v>0</v>
      </c>
      <c r="O69" s="107">
        <f t="shared" ref="O69" si="77">O61*N69</f>
        <v>0</v>
      </c>
      <c r="P69" s="105">
        <v>0</v>
      </c>
      <c r="Q69" s="107">
        <f t="shared" ref="Q69" si="78">Q61*P69</f>
        <v>0</v>
      </c>
      <c r="R69" s="105">
        <v>0</v>
      </c>
      <c r="S69" s="107">
        <f t="shared" ref="S69" si="79">S61*R69</f>
        <v>0</v>
      </c>
    </row>
    <row r="70" spans="1:19" ht="18" customHeight="1">
      <c r="A70" s="108" t="s">
        <v>110</v>
      </c>
      <c r="B70" s="297" t="s">
        <v>201</v>
      </c>
      <c r="C70" s="297"/>
      <c r="D70" s="297"/>
      <c r="E70" s="297"/>
      <c r="F70" s="297"/>
      <c r="G70" s="297"/>
      <c r="H70" s="109">
        <f>((H11/12)/12)/H11</f>
        <v>6.8999999999999999E-3</v>
      </c>
      <c r="I70" s="225">
        <f>I61*H70</f>
        <v>2.48</v>
      </c>
      <c r="J70" s="109">
        <f t="shared" ref="J70" si="80">((J11/12)/12)/J11</f>
        <v>6.8999999999999999E-3</v>
      </c>
      <c r="K70" s="225">
        <f t="shared" ref="K70" si="81">K61*J70</f>
        <v>2.48</v>
      </c>
      <c r="L70" s="109">
        <f t="shared" ref="L70" si="82">((L11/12)/12)/L11</f>
        <v>6.8999999999999999E-3</v>
      </c>
      <c r="M70" s="225">
        <f t="shared" ref="M70" si="83">M61*L70</f>
        <v>2.48</v>
      </c>
      <c r="N70" s="109">
        <f t="shared" ref="N70" si="84">((N11/12)/12)/N11</f>
        <v>6.8999999999999999E-3</v>
      </c>
      <c r="O70" s="225">
        <f t="shared" ref="O70" si="85">O61*N70</f>
        <v>2.48</v>
      </c>
      <c r="P70" s="109">
        <f t="shared" ref="P70" si="86">((P11/12)/12)/P11</f>
        <v>6.8999999999999999E-3</v>
      </c>
      <c r="Q70" s="225">
        <f t="shared" ref="Q70" si="87">Q61*P70</f>
        <v>2.48</v>
      </c>
      <c r="R70" s="109">
        <f t="shared" ref="R70" si="88">((R11/12)/12)/R11</f>
        <v>6.8999999999999999E-3</v>
      </c>
      <c r="S70" s="225">
        <f t="shared" ref="S70" si="89">S61*R70</f>
        <v>2.48</v>
      </c>
    </row>
    <row r="71" spans="1:19" ht="18" customHeight="1">
      <c r="A71" s="76" t="s">
        <v>111</v>
      </c>
      <c r="B71" s="310" t="s">
        <v>202</v>
      </c>
      <c r="C71" s="310"/>
      <c r="D71" s="310"/>
      <c r="E71" s="310"/>
      <c r="F71" s="310"/>
      <c r="G71" s="310"/>
      <c r="H71" s="111">
        <f>(H11/12)/H11</f>
        <v>8.3299999999999999E-2</v>
      </c>
      <c r="I71" s="226">
        <f>I65*H71</f>
        <v>5.33</v>
      </c>
      <c r="J71" s="111">
        <f t="shared" ref="J71" si="90">(J11/12)/J11</f>
        <v>8.3299999999999999E-2</v>
      </c>
      <c r="K71" s="226">
        <f t="shared" ref="K71" si="91">K65*J71</f>
        <v>5.33</v>
      </c>
      <c r="L71" s="111">
        <f t="shared" ref="L71" si="92">(L11/12)/L11</f>
        <v>8.3299999999999999E-2</v>
      </c>
      <c r="M71" s="226">
        <f t="shared" ref="M71" si="93">M65*L71</f>
        <v>5.33</v>
      </c>
      <c r="N71" s="111">
        <f t="shared" ref="N71" si="94">(N11/12)/N11</f>
        <v>8.3299999999999999E-2</v>
      </c>
      <c r="O71" s="226">
        <f t="shared" ref="O71" si="95">O65*N71</f>
        <v>5.33</v>
      </c>
      <c r="P71" s="111">
        <f t="shared" ref="P71" si="96">(P11/12)/P11</f>
        <v>8.3299999999999999E-2</v>
      </c>
      <c r="Q71" s="226">
        <f t="shared" ref="Q71" si="97">Q65*P71</f>
        <v>5.33</v>
      </c>
      <c r="R71" s="111">
        <f t="shared" ref="R71" si="98">(R11/12)/R11</f>
        <v>8.3299999999999999E-2</v>
      </c>
      <c r="S71" s="226">
        <f t="shared" ref="S71:S73" si="99">S65*R71</f>
        <v>5.33</v>
      </c>
    </row>
    <row r="72" spans="1:19" ht="18" customHeight="1">
      <c r="A72" s="76" t="s">
        <v>198</v>
      </c>
      <c r="B72" s="310" t="s">
        <v>203</v>
      </c>
      <c r="C72" s="310"/>
      <c r="D72" s="310"/>
      <c r="E72" s="310"/>
      <c r="F72" s="310"/>
      <c r="G72" s="310"/>
      <c r="H72" s="111">
        <f t="shared" ref="H72:R73" si="100">1/12</f>
        <v>8.3299999999999999E-2</v>
      </c>
      <c r="I72" s="226">
        <f>I66*H72</f>
        <v>1.75</v>
      </c>
      <c r="J72" s="111">
        <f t="shared" si="100"/>
        <v>8.3299999999999999E-2</v>
      </c>
      <c r="K72" s="226">
        <f t="shared" ref="K72" si="101">K66*J72</f>
        <v>1.75</v>
      </c>
      <c r="L72" s="111">
        <f t="shared" si="100"/>
        <v>8.3299999999999999E-2</v>
      </c>
      <c r="M72" s="226">
        <f t="shared" ref="M72" si="102">M66*L72</f>
        <v>1.75</v>
      </c>
      <c r="N72" s="111">
        <f t="shared" si="100"/>
        <v>8.3299999999999999E-2</v>
      </c>
      <c r="O72" s="226">
        <f t="shared" ref="O72" si="103">O66*N72</f>
        <v>1.75</v>
      </c>
      <c r="P72" s="111">
        <f t="shared" si="100"/>
        <v>8.3299999999999999E-2</v>
      </c>
      <c r="Q72" s="226">
        <f t="shared" ref="Q72" si="104">Q66*P72</f>
        <v>1.75</v>
      </c>
      <c r="R72" s="111">
        <f t="shared" si="100"/>
        <v>8.3299999999999999E-2</v>
      </c>
      <c r="S72" s="226">
        <f t="shared" si="99"/>
        <v>1.75</v>
      </c>
    </row>
    <row r="73" spans="1:19" ht="18" customHeight="1">
      <c r="A73" s="76" t="s">
        <v>199</v>
      </c>
      <c r="B73" s="310" t="s">
        <v>204</v>
      </c>
      <c r="C73" s="310"/>
      <c r="D73" s="310"/>
      <c r="E73" s="310"/>
      <c r="F73" s="310"/>
      <c r="G73" s="310"/>
      <c r="H73" s="111">
        <f t="shared" si="100"/>
        <v>8.3299999999999999E-2</v>
      </c>
      <c r="I73" s="226">
        <f>I67*H73</f>
        <v>1.75</v>
      </c>
      <c r="J73" s="111">
        <f t="shared" si="100"/>
        <v>8.3299999999999999E-2</v>
      </c>
      <c r="K73" s="226">
        <f t="shared" ref="K73" si="105">K67*J73</f>
        <v>1.75</v>
      </c>
      <c r="L73" s="111">
        <f t="shared" si="100"/>
        <v>8.3299999999999999E-2</v>
      </c>
      <c r="M73" s="226">
        <f t="shared" ref="M73" si="106">M67*L73</f>
        <v>1.75</v>
      </c>
      <c r="N73" s="111">
        <f t="shared" si="100"/>
        <v>8.3299999999999999E-2</v>
      </c>
      <c r="O73" s="226">
        <f t="shared" ref="O73" si="107">O67*N73</f>
        <v>1.75</v>
      </c>
      <c r="P73" s="111">
        <f t="shared" si="100"/>
        <v>8.3299999999999999E-2</v>
      </c>
      <c r="Q73" s="226">
        <f t="shared" ref="Q73" si="108">Q67*P73</f>
        <v>1.75</v>
      </c>
      <c r="R73" s="111">
        <f t="shared" si="100"/>
        <v>8.3299999999999999E-2</v>
      </c>
      <c r="S73" s="226">
        <f t="shared" si="99"/>
        <v>1.75</v>
      </c>
    </row>
    <row r="74" spans="1:19" ht="19.5" customHeight="1">
      <c r="A74" s="287" t="s">
        <v>85</v>
      </c>
      <c r="B74" s="287"/>
      <c r="C74" s="287"/>
      <c r="D74" s="287"/>
      <c r="E74" s="287"/>
      <c r="F74" s="287"/>
      <c r="G74" s="287"/>
      <c r="H74" s="113"/>
      <c r="I74" s="80">
        <f>SUM(I57:I73)</f>
        <v>622.57000000000005</v>
      </c>
      <c r="J74" s="113"/>
      <c r="K74" s="80">
        <f>SUM(K57:K73)</f>
        <v>574.16999999999996</v>
      </c>
      <c r="L74" s="113"/>
      <c r="M74" s="80">
        <f>SUM(M57:M73)</f>
        <v>611.57000000000005</v>
      </c>
      <c r="N74" s="113"/>
      <c r="O74" s="80">
        <f>SUM(O57:O73)</f>
        <v>613.77</v>
      </c>
      <c r="P74" s="113"/>
      <c r="Q74" s="80">
        <f>SUM(Q57:Q73)</f>
        <v>587.37</v>
      </c>
      <c r="R74" s="113"/>
      <c r="S74" s="80">
        <f>SUM(S57:S73)</f>
        <v>613.77</v>
      </c>
    </row>
    <row r="75" spans="1:19" ht="30.75" customHeight="1">
      <c r="A75" s="37" t="s">
        <v>120</v>
      </c>
      <c r="B75" s="63"/>
      <c r="C75" s="63"/>
      <c r="D75" s="63"/>
      <c r="E75" s="63"/>
      <c r="F75" s="63"/>
      <c r="G75" s="63"/>
      <c r="H75" s="64"/>
      <c r="I75" s="65"/>
      <c r="J75" s="64"/>
      <c r="K75" s="65"/>
      <c r="L75" s="64"/>
      <c r="M75" s="65"/>
      <c r="N75" s="64"/>
      <c r="O75" s="65"/>
      <c r="P75" s="64"/>
      <c r="Q75" s="65"/>
      <c r="R75" s="64"/>
      <c r="S75" s="65"/>
    </row>
    <row r="76" spans="1:19" ht="20.25" customHeight="1">
      <c r="A76" s="114">
        <v>2</v>
      </c>
      <c r="B76" s="311" t="s">
        <v>121</v>
      </c>
      <c r="C76" s="311"/>
      <c r="D76" s="311"/>
      <c r="E76" s="311"/>
      <c r="F76" s="311"/>
      <c r="G76" s="311"/>
      <c r="H76" s="115"/>
      <c r="I76" s="116" t="s">
        <v>79</v>
      </c>
      <c r="J76" s="115"/>
      <c r="K76" s="116" t="s">
        <v>79</v>
      </c>
      <c r="L76" s="115"/>
      <c r="M76" s="116" t="s">
        <v>79</v>
      </c>
      <c r="N76" s="115"/>
      <c r="O76" s="116" t="s">
        <v>79</v>
      </c>
      <c r="P76" s="115"/>
      <c r="Q76" s="116" t="s">
        <v>79</v>
      </c>
      <c r="R76" s="115"/>
      <c r="S76" s="116" t="s">
        <v>79</v>
      </c>
    </row>
    <row r="77" spans="1:19" ht="12.75" customHeight="1">
      <c r="A77" s="69" t="s">
        <v>87</v>
      </c>
      <c r="B77" s="286" t="s">
        <v>88</v>
      </c>
      <c r="C77" s="286"/>
      <c r="D77" s="286"/>
      <c r="E77" s="286"/>
      <c r="F77" s="286"/>
      <c r="G77" s="286"/>
      <c r="H77" s="48"/>
      <c r="I77" s="71">
        <f>I40</f>
        <v>380.28</v>
      </c>
      <c r="J77" s="48"/>
      <c r="K77" s="71">
        <f>K40</f>
        <v>380.28</v>
      </c>
      <c r="L77" s="48"/>
      <c r="M77" s="71">
        <f>M40</f>
        <v>380.28</v>
      </c>
      <c r="N77" s="48"/>
      <c r="O77" s="71">
        <f>O40</f>
        <v>380.28</v>
      </c>
      <c r="P77" s="48"/>
      <c r="Q77" s="71">
        <f>Q40</f>
        <v>380.28</v>
      </c>
      <c r="R77" s="48"/>
      <c r="S77" s="71">
        <f>S40</f>
        <v>380.28</v>
      </c>
    </row>
    <row r="78" spans="1:19" ht="12.75" customHeight="1">
      <c r="A78" s="69" t="s">
        <v>106</v>
      </c>
      <c r="B78" s="286" t="s">
        <v>107</v>
      </c>
      <c r="C78" s="286"/>
      <c r="D78" s="286"/>
      <c r="E78" s="286"/>
      <c r="F78" s="286"/>
      <c r="G78" s="286"/>
      <c r="H78" s="48"/>
      <c r="I78" s="71">
        <f>I54</f>
        <v>804.73</v>
      </c>
      <c r="J78" s="48"/>
      <c r="K78" s="71">
        <f>K54</f>
        <v>804.73</v>
      </c>
      <c r="L78" s="48"/>
      <c r="M78" s="71">
        <f>M54</f>
        <v>804.73</v>
      </c>
      <c r="N78" s="48"/>
      <c r="O78" s="71">
        <f>O54</f>
        <v>804.73</v>
      </c>
      <c r="P78" s="48"/>
      <c r="Q78" s="71">
        <f>Q54</f>
        <v>804.73</v>
      </c>
      <c r="R78" s="48"/>
      <c r="S78" s="71">
        <f>S54</f>
        <v>804.73</v>
      </c>
    </row>
    <row r="79" spans="1:19" ht="12.75" customHeight="1">
      <c r="A79" s="69" t="s">
        <v>113</v>
      </c>
      <c r="B79" s="286" t="s">
        <v>114</v>
      </c>
      <c r="C79" s="286"/>
      <c r="D79" s="286"/>
      <c r="E79" s="286"/>
      <c r="F79" s="286"/>
      <c r="G79" s="286"/>
      <c r="H79" s="48"/>
      <c r="I79" s="71">
        <f>I74</f>
        <v>622.57000000000005</v>
      </c>
      <c r="J79" s="48"/>
      <c r="K79" s="71">
        <f>K74</f>
        <v>574.16999999999996</v>
      </c>
      <c r="L79" s="48"/>
      <c r="M79" s="71">
        <f>M74</f>
        <v>611.57000000000005</v>
      </c>
      <c r="N79" s="48"/>
      <c r="O79" s="71">
        <f>O74</f>
        <v>613.77</v>
      </c>
      <c r="P79" s="48"/>
      <c r="Q79" s="71">
        <f>Q74</f>
        <v>587.37</v>
      </c>
      <c r="R79" s="48"/>
      <c r="S79" s="71">
        <f>S74</f>
        <v>613.77</v>
      </c>
    </row>
    <row r="80" spans="1:19">
      <c r="A80" s="304" t="s">
        <v>85</v>
      </c>
      <c r="B80" s="304"/>
      <c r="C80" s="304"/>
      <c r="D80" s="304"/>
      <c r="E80" s="304"/>
      <c r="F80" s="304"/>
      <c r="G80" s="304"/>
      <c r="H80" s="117"/>
      <c r="I80" s="82">
        <f>SUM(I77:I79)</f>
        <v>1807.58</v>
      </c>
      <c r="J80" s="117"/>
      <c r="K80" s="82">
        <f>SUM(K77:K79)</f>
        <v>1759.18</v>
      </c>
      <c r="L80" s="117"/>
      <c r="M80" s="82">
        <f>SUM(M77:M79)</f>
        <v>1796.58</v>
      </c>
      <c r="N80" s="117"/>
      <c r="O80" s="82">
        <f>SUM(O77:O79)</f>
        <v>1798.78</v>
      </c>
      <c r="P80" s="117"/>
      <c r="Q80" s="82">
        <f>SUM(Q77:Q79)</f>
        <v>1772.38</v>
      </c>
      <c r="R80" s="117"/>
      <c r="S80" s="82">
        <f>SUM(S77:S79)</f>
        <v>1798.78</v>
      </c>
    </row>
    <row r="81" spans="1:19" ht="26.25" customHeight="1">
      <c r="A81" s="37" t="s">
        <v>122</v>
      </c>
      <c r="B81" s="118"/>
      <c r="C81" s="118"/>
      <c r="D81" s="118"/>
      <c r="E81" s="118"/>
      <c r="F81" s="118"/>
      <c r="G81" s="118"/>
      <c r="H81" s="64"/>
      <c r="I81" s="65"/>
      <c r="J81" s="64"/>
      <c r="K81" s="65"/>
      <c r="L81" s="64"/>
      <c r="M81" s="65"/>
      <c r="N81" s="64"/>
      <c r="O81" s="65"/>
      <c r="P81" s="64"/>
      <c r="Q81" s="65"/>
      <c r="R81" s="64"/>
      <c r="S81" s="65"/>
    </row>
    <row r="82" spans="1:19" ht="26.25" customHeight="1">
      <c r="A82" s="119">
        <v>3</v>
      </c>
      <c r="B82" s="305" t="s">
        <v>123</v>
      </c>
      <c r="C82" s="305"/>
      <c r="D82" s="305"/>
      <c r="E82" s="305"/>
      <c r="F82" s="305"/>
      <c r="G82" s="305"/>
      <c r="H82" s="120" t="s">
        <v>89</v>
      </c>
      <c r="I82" s="47" t="s">
        <v>79</v>
      </c>
      <c r="J82" s="46" t="s">
        <v>89</v>
      </c>
      <c r="K82" s="47" t="s">
        <v>79</v>
      </c>
      <c r="L82" s="46" t="s">
        <v>89</v>
      </c>
      <c r="M82" s="47" t="s">
        <v>79</v>
      </c>
      <c r="N82" s="46" t="s">
        <v>89</v>
      </c>
      <c r="O82" s="47" t="s">
        <v>79</v>
      </c>
      <c r="P82" s="46" t="s">
        <v>89</v>
      </c>
      <c r="Q82" s="47" t="s">
        <v>79</v>
      </c>
      <c r="R82" s="46" t="s">
        <v>89</v>
      </c>
      <c r="S82" s="47" t="s">
        <v>79</v>
      </c>
    </row>
    <row r="83" spans="1:19" ht="16.5" customHeight="1">
      <c r="A83" s="121" t="s">
        <v>58</v>
      </c>
      <c r="B83" s="306" t="s">
        <v>124</v>
      </c>
      <c r="C83" s="307"/>
      <c r="D83" s="307"/>
      <c r="E83" s="307"/>
      <c r="F83" s="307"/>
      <c r="G83" s="308"/>
      <c r="H83" s="122">
        <f>((100%/12)*'DADOS BÁSICOS 2º ANO'!$Q8)/10</f>
        <v>2.8E-3</v>
      </c>
      <c r="I83" s="123">
        <f>H83*I$43</f>
        <v>6.12</v>
      </c>
      <c r="J83" s="122">
        <f>((100%/12)*'DADOS BÁSICOS 2º ANO'!$Q8)/10</f>
        <v>2.8E-3</v>
      </c>
      <c r="K83" s="123">
        <f t="shared" ref="K83" si="109">J83*K$43</f>
        <v>6.12</v>
      </c>
      <c r="L83" s="122">
        <f>((100%/12)*'DADOS BÁSICOS 2º ANO'!$Q8)/10</f>
        <v>2.8E-3</v>
      </c>
      <c r="M83" s="123">
        <f t="shared" ref="M83" si="110">L83*M$43</f>
        <v>6.12</v>
      </c>
      <c r="N83" s="122">
        <f>((100%/12)*'DADOS BÁSICOS 2º ANO'!$Q8)/10</f>
        <v>2.8E-3</v>
      </c>
      <c r="O83" s="123">
        <f t="shared" ref="O83" si="111">N83*O$43</f>
        <v>6.12</v>
      </c>
      <c r="P83" s="122">
        <f>((100%/12)*'DADOS BÁSICOS 2º ANO'!$Q8)/10</f>
        <v>2.8E-3</v>
      </c>
      <c r="Q83" s="123">
        <f t="shared" ref="Q83" si="112">P83*Q$43</f>
        <v>6.12</v>
      </c>
      <c r="R83" s="122">
        <f>((100%/12)*'DADOS BÁSICOS 2º ANO'!$Q8)/10</f>
        <v>2.8E-3</v>
      </c>
      <c r="S83" s="123">
        <f t="shared" ref="S83" si="113">R83*S$43</f>
        <v>6.12</v>
      </c>
    </row>
    <row r="84" spans="1:19">
      <c r="A84" s="69" t="s">
        <v>60</v>
      </c>
      <c r="B84" s="294" t="s">
        <v>125</v>
      </c>
      <c r="C84" s="294"/>
      <c r="D84" s="294"/>
      <c r="E84" s="294"/>
      <c r="F84" s="294"/>
      <c r="G84" s="294"/>
      <c r="H84" s="124">
        <v>0.08</v>
      </c>
      <c r="I84" s="125">
        <f>I83*H84</f>
        <v>0.49</v>
      </c>
      <c r="J84" s="124">
        <v>0.08</v>
      </c>
      <c r="K84" s="125">
        <f t="shared" ref="K84" si="114">K83*J84</f>
        <v>0.49</v>
      </c>
      <c r="L84" s="124">
        <v>0.08</v>
      </c>
      <c r="M84" s="125">
        <f t="shared" ref="M84" si="115">M83*L84</f>
        <v>0.49</v>
      </c>
      <c r="N84" s="124">
        <v>0.08</v>
      </c>
      <c r="O84" s="125">
        <f t="shared" ref="O84" si="116">O83*N84</f>
        <v>0.49</v>
      </c>
      <c r="P84" s="124">
        <v>0.08</v>
      </c>
      <c r="Q84" s="125">
        <f t="shared" ref="Q84" si="117">Q83*P84</f>
        <v>0.49</v>
      </c>
      <c r="R84" s="124">
        <v>0.08</v>
      </c>
      <c r="S84" s="125">
        <f t="shared" ref="S84" si="118">S83*R84</f>
        <v>0.49</v>
      </c>
    </row>
    <row r="85" spans="1:19" ht="12.75" customHeight="1">
      <c r="A85" s="126" t="s">
        <v>62</v>
      </c>
      <c r="B85" s="302" t="s">
        <v>126</v>
      </c>
      <c r="C85" s="303"/>
      <c r="D85" s="303"/>
      <c r="E85" s="303"/>
      <c r="F85" s="303"/>
      <c r="G85" s="284"/>
      <c r="H85" s="127">
        <f>8%*40%*'DADOS BÁSICOS 2º ANO'!$Q8</f>
        <v>1.0800000000000001E-2</v>
      </c>
      <c r="I85" s="125">
        <f>I$43*H85</f>
        <v>23.62</v>
      </c>
      <c r="J85" s="127">
        <f>8%*40%*'DADOS BÁSICOS 2º ANO'!$Q8</f>
        <v>1.0800000000000001E-2</v>
      </c>
      <c r="K85" s="125">
        <f t="shared" ref="K85" si="119">K$43*J85</f>
        <v>23.62</v>
      </c>
      <c r="L85" s="127">
        <f>8%*40%*'DADOS BÁSICOS 2º ANO'!$Q8</f>
        <v>1.0800000000000001E-2</v>
      </c>
      <c r="M85" s="125">
        <f t="shared" ref="M85" si="120">M$43*L85</f>
        <v>23.62</v>
      </c>
      <c r="N85" s="127">
        <f>8%*40%*'DADOS BÁSICOS 2º ANO'!$Q8</f>
        <v>1.0800000000000001E-2</v>
      </c>
      <c r="O85" s="125">
        <f t="shared" ref="O85" si="121">O$43*N85</f>
        <v>23.62</v>
      </c>
      <c r="P85" s="127">
        <f>8%*40%*'DADOS BÁSICOS 2º ANO'!$Q8</f>
        <v>1.0800000000000001E-2</v>
      </c>
      <c r="Q85" s="125">
        <f t="shared" ref="Q85" si="122">Q$43*P85</f>
        <v>23.62</v>
      </c>
      <c r="R85" s="127">
        <f>8%*40%*'DADOS BÁSICOS 2º ANO'!$Q8</f>
        <v>1.0800000000000001E-2</v>
      </c>
      <c r="S85" s="125">
        <f t="shared" ref="S85" si="123">S$43*R85</f>
        <v>23.62</v>
      </c>
    </row>
    <row r="86" spans="1:19" ht="17.25" customHeight="1">
      <c r="A86" s="128" t="s">
        <v>64</v>
      </c>
      <c r="B86" s="309" t="s">
        <v>127</v>
      </c>
      <c r="C86" s="309"/>
      <c r="D86" s="309"/>
      <c r="E86" s="309"/>
      <c r="F86" s="309"/>
      <c r="G86" s="309"/>
      <c r="H86" s="247">
        <f>((7/30)/12)/10</f>
        <v>1.944E-3</v>
      </c>
      <c r="I86" s="248">
        <f>H86*I$43</f>
        <v>4.25</v>
      </c>
      <c r="J86" s="247">
        <f t="shared" ref="J86" si="124">((7/30)/12)/10</f>
        <v>1.944E-3</v>
      </c>
      <c r="K86" s="248">
        <f t="shared" ref="K86" si="125">J86*K$43</f>
        <v>4.25</v>
      </c>
      <c r="L86" s="247">
        <f t="shared" ref="L86" si="126">((7/30)/12)/10</f>
        <v>1.944E-3</v>
      </c>
      <c r="M86" s="248">
        <f t="shared" ref="M86" si="127">L86*M$43</f>
        <v>4.25</v>
      </c>
      <c r="N86" s="247">
        <f t="shared" ref="N86" si="128">((7/30)/12)/10</f>
        <v>1.944E-3</v>
      </c>
      <c r="O86" s="248">
        <f t="shared" ref="O86" si="129">N86*O$43</f>
        <v>4.25</v>
      </c>
      <c r="P86" s="247">
        <f t="shared" ref="P86" si="130">((7/30)/12)/10</f>
        <v>1.944E-3</v>
      </c>
      <c r="Q86" s="248">
        <f t="shared" ref="Q86" si="131">P86*Q$43</f>
        <v>4.25</v>
      </c>
      <c r="R86" s="247">
        <f t="shared" ref="R86" si="132">((7/30)/12)/10</f>
        <v>1.944E-3</v>
      </c>
      <c r="S86" s="248">
        <f t="shared" ref="S86" si="133">R86*S$43</f>
        <v>4.25</v>
      </c>
    </row>
    <row r="87" spans="1:19">
      <c r="A87" s="69" t="s">
        <v>66</v>
      </c>
      <c r="B87" s="294" t="s">
        <v>128</v>
      </c>
      <c r="C87" s="294"/>
      <c r="D87" s="294"/>
      <c r="E87" s="294"/>
      <c r="F87" s="294"/>
      <c r="G87" s="294"/>
      <c r="H87" s="124">
        <f>H54</f>
        <v>0.36799999999999999</v>
      </c>
      <c r="I87" s="131">
        <f>H87*I86</f>
        <v>1.56</v>
      </c>
      <c r="J87" s="124">
        <f t="shared" ref="J87" si="134">J54</f>
        <v>0.36799999999999999</v>
      </c>
      <c r="K87" s="131">
        <f t="shared" ref="K87" si="135">J87*K86</f>
        <v>1.56</v>
      </c>
      <c r="L87" s="124">
        <f t="shared" ref="L87" si="136">L54</f>
        <v>0.36799999999999999</v>
      </c>
      <c r="M87" s="131">
        <f t="shared" ref="M87" si="137">L87*M86</f>
        <v>1.56</v>
      </c>
      <c r="N87" s="124">
        <f t="shared" ref="N87" si="138">N54</f>
        <v>0.36799999999999999</v>
      </c>
      <c r="O87" s="131">
        <f t="shared" ref="O87" si="139">N87*O86</f>
        <v>1.56</v>
      </c>
      <c r="P87" s="124">
        <f t="shared" ref="P87" si="140">P54</f>
        <v>0.36799999999999999</v>
      </c>
      <c r="Q87" s="131">
        <f t="shared" ref="Q87" si="141">P87*Q86</f>
        <v>1.56</v>
      </c>
      <c r="R87" s="124">
        <f t="shared" ref="R87" si="142">R54</f>
        <v>0.36799999999999999</v>
      </c>
      <c r="S87" s="131">
        <f t="shared" ref="S87" si="143">R87*S86</f>
        <v>1.56</v>
      </c>
    </row>
    <row r="88" spans="1:19" ht="12.75" customHeight="1">
      <c r="A88" s="126" t="s">
        <v>84</v>
      </c>
      <c r="B88" s="302" t="s">
        <v>129</v>
      </c>
      <c r="C88" s="303"/>
      <c r="D88" s="303"/>
      <c r="E88" s="303"/>
      <c r="F88" s="303"/>
      <c r="G88" s="284"/>
      <c r="H88" s="127">
        <f>8%*40%*'DADOS BÁSICOS 2º ANO'!$R8</f>
        <v>1.0800000000000001E-2</v>
      </c>
      <c r="I88" s="125">
        <f>I43*H88</f>
        <v>23.62</v>
      </c>
      <c r="J88" s="127">
        <f>8%*40%*'DADOS BÁSICOS 2º ANO'!$R8</f>
        <v>1.0800000000000001E-2</v>
      </c>
      <c r="K88" s="125">
        <f t="shared" ref="K88" si="144">K43*J88</f>
        <v>23.62</v>
      </c>
      <c r="L88" s="127">
        <f>8%*40%*'DADOS BÁSICOS 2º ANO'!$R8</f>
        <v>1.0800000000000001E-2</v>
      </c>
      <c r="M88" s="125">
        <f t="shared" ref="M88" si="145">M43*L88</f>
        <v>23.62</v>
      </c>
      <c r="N88" s="127">
        <f>8%*40%*'DADOS BÁSICOS 2º ANO'!$R8</f>
        <v>1.0800000000000001E-2</v>
      </c>
      <c r="O88" s="125">
        <f t="shared" ref="O88" si="146">O43*N88</f>
        <v>23.62</v>
      </c>
      <c r="P88" s="127">
        <f>8%*40%*'DADOS BÁSICOS 2º ANO'!$R8</f>
        <v>1.0800000000000001E-2</v>
      </c>
      <c r="Q88" s="125">
        <f t="shared" ref="Q88" si="147">Q43*P88</f>
        <v>23.62</v>
      </c>
      <c r="R88" s="127">
        <f>8%*40%*'DADOS BÁSICOS 2º ANO'!$R8</f>
        <v>1.0800000000000001E-2</v>
      </c>
      <c r="S88" s="125">
        <f t="shared" ref="S88" si="148">S43*R88</f>
        <v>23.62</v>
      </c>
    </row>
    <row r="89" spans="1:19">
      <c r="A89" s="287" t="s">
        <v>85</v>
      </c>
      <c r="B89" s="287"/>
      <c r="C89" s="287"/>
      <c r="D89" s="287"/>
      <c r="E89" s="287"/>
      <c r="F89" s="287"/>
      <c r="G89" s="287"/>
      <c r="H89" s="113"/>
      <c r="I89" s="80">
        <f>SUM(I83:I88)</f>
        <v>59.66</v>
      </c>
      <c r="J89" s="113"/>
      <c r="K89" s="80">
        <f>SUM(K83:K88)</f>
        <v>59.66</v>
      </c>
      <c r="L89" s="113"/>
      <c r="M89" s="80">
        <f>SUM(M83:M88)</f>
        <v>59.66</v>
      </c>
      <c r="N89" s="113"/>
      <c r="O89" s="80">
        <f>SUM(O83:O88)</f>
        <v>59.66</v>
      </c>
      <c r="P89" s="113"/>
      <c r="Q89" s="80">
        <f>SUM(Q83:Q88)</f>
        <v>59.66</v>
      </c>
      <c r="R89" s="113"/>
      <c r="S89" s="80">
        <f>SUM(S83:S88)</f>
        <v>59.66</v>
      </c>
    </row>
    <row r="90" spans="1:19">
      <c r="A90" s="304" t="s">
        <v>130</v>
      </c>
      <c r="B90" s="304"/>
      <c r="C90" s="304"/>
      <c r="D90" s="304"/>
      <c r="E90" s="304"/>
      <c r="F90" s="304"/>
      <c r="G90" s="304"/>
      <c r="H90" s="132" t="s">
        <v>93</v>
      </c>
      <c r="I90" s="133">
        <f>I29</f>
        <v>1806.53</v>
      </c>
      <c r="J90" s="132" t="s">
        <v>93</v>
      </c>
      <c r="K90" s="133">
        <f>K29</f>
        <v>1806.53</v>
      </c>
      <c r="L90" s="132" t="s">
        <v>93</v>
      </c>
      <c r="M90" s="133">
        <f>M29</f>
        <v>1806.53</v>
      </c>
      <c r="N90" s="132" t="s">
        <v>93</v>
      </c>
      <c r="O90" s="133">
        <f>O29</f>
        <v>1806.53</v>
      </c>
      <c r="P90" s="132" t="s">
        <v>93</v>
      </c>
      <c r="Q90" s="133">
        <f>Q29</f>
        <v>1806.53</v>
      </c>
      <c r="R90" s="132" t="s">
        <v>93</v>
      </c>
      <c r="S90" s="133">
        <f>S29</f>
        <v>1806.53</v>
      </c>
    </row>
    <row r="91" spans="1:19">
      <c r="A91" s="304"/>
      <c r="B91" s="304"/>
      <c r="C91" s="304"/>
      <c r="D91" s="304"/>
      <c r="E91" s="304"/>
      <c r="F91" s="304"/>
      <c r="G91" s="304"/>
      <c r="H91" s="132" t="s">
        <v>94</v>
      </c>
      <c r="I91" s="133">
        <f>I80</f>
        <v>1807.58</v>
      </c>
      <c r="J91" s="132" t="s">
        <v>94</v>
      </c>
      <c r="K91" s="133">
        <f>K80</f>
        <v>1759.18</v>
      </c>
      <c r="L91" s="132" t="s">
        <v>94</v>
      </c>
      <c r="M91" s="133">
        <f>M80</f>
        <v>1796.58</v>
      </c>
      <c r="N91" s="132" t="s">
        <v>94</v>
      </c>
      <c r="O91" s="133">
        <f>O80</f>
        <v>1798.78</v>
      </c>
      <c r="P91" s="132" t="s">
        <v>94</v>
      </c>
      <c r="Q91" s="133">
        <f>Q80</f>
        <v>1772.38</v>
      </c>
      <c r="R91" s="132" t="s">
        <v>94</v>
      </c>
      <c r="S91" s="133">
        <f>S80</f>
        <v>1798.78</v>
      </c>
    </row>
    <row r="92" spans="1:19">
      <c r="A92" s="304"/>
      <c r="B92" s="304"/>
      <c r="C92" s="304"/>
      <c r="D92" s="304"/>
      <c r="E92" s="304"/>
      <c r="F92" s="304"/>
      <c r="G92" s="304"/>
      <c r="H92" s="132" t="s">
        <v>95</v>
      </c>
      <c r="I92" s="133">
        <f>I89</f>
        <v>59.66</v>
      </c>
      <c r="J92" s="132" t="s">
        <v>95</v>
      </c>
      <c r="K92" s="133">
        <f>K89</f>
        <v>59.66</v>
      </c>
      <c r="L92" s="132" t="s">
        <v>95</v>
      </c>
      <c r="M92" s="133">
        <f>M89</f>
        <v>59.66</v>
      </c>
      <c r="N92" s="132" t="s">
        <v>95</v>
      </c>
      <c r="O92" s="133">
        <f>O89</f>
        <v>59.66</v>
      </c>
      <c r="P92" s="132" t="s">
        <v>95</v>
      </c>
      <c r="Q92" s="133">
        <f>Q89</f>
        <v>59.66</v>
      </c>
      <c r="R92" s="132" t="s">
        <v>95</v>
      </c>
      <c r="S92" s="133">
        <f>S89</f>
        <v>59.66</v>
      </c>
    </row>
    <row r="93" spans="1:19">
      <c r="A93" s="304"/>
      <c r="B93" s="304"/>
      <c r="C93" s="304"/>
      <c r="D93" s="304"/>
      <c r="E93" s="304"/>
      <c r="F93" s="304"/>
      <c r="G93" s="304"/>
      <c r="H93" s="132" t="s">
        <v>85</v>
      </c>
      <c r="I93" s="133">
        <f>SUM(I90:I92)</f>
        <v>3673.77</v>
      </c>
      <c r="J93" s="132" t="s">
        <v>85</v>
      </c>
      <c r="K93" s="133">
        <f>SUM(K90:K92)</f>
        <v>3625.37</v>
      </c>
      <c r="L93" s="132" t="s">
        <v>85</v>
      </c>
      <c r="M93" s="133">
        <f>SUM(M90:M92)</f>
        <v>3662.77</v>
      </c>
      <c r="N93" s="132" t="s">
        <v>85</v>
      </c>
      <c r="O93" s="133">
        <f>SUM(O90:O92)</f>
        <v>3664.97</v>
      </c>
      <c r="P93" s="132" t="s">
        <v>85</v>
      </c>
      <c r="Q93" s="133">
        <f>SUM(Q90:Q92)</f>
        <v>3638.57</v>
      </c>
      <c r="R93" s="132" t="s">
        <v>85</v>
      </c>
      <c r="S93" s="133">
        <f>SUM(S90:S92)</f>
        <v>3664.97</v>
      </c>
    </row>
    <row r="94" spans="1:19" ht="26.25" customHeight="1">
      <c r="A94" s="37" t="s">
        <v>131</v>
      </c>
      <c r="B94" s="134"/>
      <c r="C94" s="134"/>
      <c r="D94" s="134"/>
      <c r="E94" s="134"/>
      <c r="F94" s="134"/>
      <c r="G94" s="134"/>
      <c r="H94" s="135"/>
      <c r="I94" s="136"/>
      <c r="J94" s="135"/>
      <c r="K94" s="136"/>
      <c r="L94" s="135"/>
      <c r="M94" s="136"/>
      <c r="N94" s="135"/>
      <c r="O94" s="136"/>
      <c r="P94" s="135"/>
      <c r="Q94" s="136"/>
      <c r="R94" s="135"/>
      <c r="S94" s="136"/>
    </row>
    <row r="95" spans="1:19" s="137" customFormat="1" ht="63.75" customHeight="1">
      <c r="A95" s="138" t="s">
        <v>132</v>
      </c>
      <c r="B95" s="63" t="s">
        <v>133</v>
      </c>
      <c r="C95" s="63"/>
      <c r="D95" s="63"/>
      <c r="E95" s="63"/>
      <c r="F95" s="63"/>
      <c r="G95" s="63"/>
      <c r="H95" s="67" t="s">
        <v>134</v>
      </c>
      <c r="I95" s="68" t="s">
        <v>79</v>
      </c>
      <c r="J95" s="67" t="s">
        <v>134</v>
      </c>
      <c r="K95" s="68" t="s">
        <v>79</v>
      </c>
      <c r="L95" s="67" t="s">
        <v>134</v>
      </c>
      <c r="M95" s="68" t="s">
        <v>79</v>
      </c>
      <c r="N95" s="67" t="s">
        <v>134</v>
      </c>
      <c r="O95" s="68" t="s">
        <v>79</v>
      </c>
      <c r="P95" s="67" t="s">
        <v>134</v>
      </c>
      <c r="Q95" s="68" t="s">
        <v>79</v>
      </c>
      <c r="R95" s="67" t="s">
        <v>134</v>
      </c>
      <c r="S95" s="68" t="s">
        <v>79</v>
      </c>
    </row>
    <row r="96" spans="1:19" ht="16.5" customHeight="1">
      <c r="A96" s="69" t="s">
        <v>58</v>
      </c>
      <c r="B96" s="301" t="s">
        <v>135</v>
      </c>
      <c r="C96" s="301"/>
      <c r="D96" s="301"/>
      <c r="E96" s="301"/>
      <c r="F96" s="301"/>
      <c r="G96" s="301"/>
      <c r="H96" s="139">
        <f>'DADOS BÁSICOS 2º ANO'!$H$59</f>
        <v>4.8734000000000002</v>
      </c>
      <c r="I96" s="71">
        <f>SUM(I97:I104)</f>
        <v>49.72</v>
      </c>
      <c r="J96" s="139">
        <f>'DADOS BÁSICOS 2º ANO'!$H$59</f>
        <v>4.8734000000000002</v>
      </c>
      <c r="K96" s="71">
        <f t="shared" ref="K96" si="149">SUM(K97:K104)</f>
        <v>49.09</v>
      </c>
      <c r="L96" s="139">
        <f>'DADOS BÁSICOS 2º ANO'!$H$59</f>
        <v>4.8734000000000002</v>
      </c>
      <c r="M96" s="71">
        <f t="shared" ref="M96" si="150">SUM(M97:M104)</f>
        <v>49.57</v>
      </c>
      <c r="N96" s="139">
        <f>'DADOS BÁSICOS 2º ANO'!$H$59</f>
        <v>4.8734000000000002</v>
      </c>
      <c r="O96" s="71">
        <f t="shared" ref="O96" si="151">SUM(O97:O104)</f>
        <v>49.61</v>
      </c>
      <c r="P96" s="139">
        <f>'DADOS BÁSICOS 2º ANO'!$H$59</f>
        <v>4.8734000000000002</v>
      </c>
      <c r="Q96" s="71">
        <f t="shared" ref="Q96" si="152">SUM(Q97:Q104)</f>
        <v>49.26</v>
      </c>
      <c r="R96" s="139">
        <f>'DADOS BÁSICOS 2º ANO'!$H$59</f>
        <v>4.8734000000000002</v>
      </c>
      <c r="S96" s="71">
        <f t="shared" ref="S96" si="153">SUM(S97:S104)</f>
        <v>49.61</v>
      </c>
    </row>
    <row r="97" spans="1:19" ht="16.5" customHeight="1">
      <c r="A97" s="140" t="s">
        <v>219</v>
      </c>
      <c r="B97" s="300" t="s">
        <v>211</v>
      </c>
      <c r="C97" s="300"/>
      <c r="D97" s="300"/>
      <c r="E97" s="300"/>
      <c r="F97" s="300"/>
      <c r="G97" s="300"/>
      <c r="H97" s="139">
        <f>'DADOS BÁSICOS 2º ANO'!$H$60</f>
        <v>1</v>
      </c>
      <c r="I97" s="141">
        <f>((I$93/30)*H97)/H$10</f>
        <v>10.199999999999999</v>
      </c>
      <c r="J97" s="139">
        <f>'DADOS BÁSICOS 2º ANO'!$H$60</f>
        <v>1</v>
      </c>
      <c r="K97" s="141">
        <f>((K$93/30)*J97)/J$10</f>
        <v>10.07</v>
      </c>
      <c r="L97" s="139">
        <f>'DADOS BÁSICOS 2º ANO'!$H$60</f>
        <v>1</v>
      </c>
      <c r="M97" s="141">
        <f>((M$93/30)*L97)/L$10</f>
        <v>10.17</v>
      </c>
      <c r="N97" s="139">
        <f>'DADOS BÁSICOS 2º ANO'!$H$60</f>
        <v>1</v>
      </c>
      <c r="O97" s="141">
        <f>((O$93/30)*N97)/N$10</f>
        <v>10.18</v>
      </c>
      <c r="P97" s="139">
        <f>'DADOS BÁSICOS 2º ANO'!$H$60</f>
        <v>1</v>
      </c>
      <c r="Q97" s="141">
        <f>((Q$93/30)*P97)/P$10</f>
        <v>10.11</v>
      </c>
      <c r="R97" s="139">
        <f>'DADOS BÁSICOS 2º ANO'!$H$60</f>
        <v>1</v>
      </c>
      <c r="S97" s="141">
        <f>((S$93/30)*R97)/R$10</f>
        <v>10.18</v>
      </c>
    </row>
    <row r="98" spans="1:19" ht="16.5" customHeight="1">
      <c r="A98" s="140" t="s">
        <v>221</v>
      </c>
      <c r="B98" s="300" t="s">
        <v>212</v>
      </c>
      <c r="C98" s="300"/>
      <c r="D98" s="300"/>
      <c r="E98" s="300"/>
      <c r="F98" s="300"/>
      <c r="G98" s="300"/>
      <c r="H98" s="139">
        <f>'DADOS BÁSICOS 2º ANO'!$H$61</f>
        <v>3.4929999999999999</v>
      </c>
      <c r="I98" s="141">
        <f>((I$93/30)*H98)/H$10</f>
        <v>35.65</v>
      </c>
      <c r="J98" s="139">
        <f>'DADOS BÁSICOS 2º ANO'!$H$61</f>
        <v>3.4929999999999999</v>
      </c>
      <c r="K98" s="141">
        <f>((K$93/30)*J98)/J$10</f>
        <v>35.18</v>
      </c>
      <c r="L98" s="139">
        <f>'DADOS BÁSICOS 2º ANO'!$H$61</f>
        <v>3.4929999999999999</v>
      </c>
      <c r="M98" s="141">
        <f>((M$93/30)*L98)/L$10</f>
        <v>35.54</v>
      </c>
      <c r="N98" s="139">
        <f>'DADOS BÁSICOS 2º ANO'!$H$61</f>
        <v>3.4929999999999999</v>
      </c>
      <c r="O98" s="141">
        <f>((O$93/30)*N98)/N$10</f>
        <v>35.56</v>
      </c>
      <c r="P98" s="139">
        <f>'DADOS BÁSICOS 2º ANO'!$H$61</f>
        <v>3.4929999999999999</v>
      </c>
      <c r="Q98" s="141">
        <f>((Q$93/30)*P98)/P$10</f>
        <v>35.299999999999997</v>
      </c>
      <c r="R98" s="139">
        <f>'DADOS BÁSICOS 2º ANO'!$H$61</f>
        <v>3.4929999999999999</v>
      </c>
      <c r="S98" s="141">
        <f>((S$93/30)*R98)/R$10</f>
        <v>35.56</v>
      </c>
    </row>
    <row r="99" spans="1:19" ht="16.5" customHeight="1">
      <c r="A99" s="140" t="s">
        <v>222</v>
      </c>
      <c r="B99" s="300" t="s">
        <v>213</v>
      </c>
      <c r="C99" s="300"/>
      <c r="D99" s="300"/>
      <c r="E99" s="300"/>
      <c r="F99" s="300"/>
      <c r="G99" s="300"/>
      <c r="H99" s="139">
        <f>'DADOS BÁSICOS 2º ANO'!$H$62</f>
        <v>0.26879999999999998</v>
      </c>
      <c r="I99" s="141">
        <f t="shared" ref="I99:I108" si="154">(I$93/30)*(H99/H$10)</f>
        <v>2.74</v>
      </c>
      <c r="J99" s="139">
        <f>'DADOS BÁSICOS 2º ANO'!$H$62</f>
        <v>0.26879999999999998</v>
      </c>
      <c r="K99" s="141">
        <f t="shared" ref="K99:K108" si="155">(K$93/30)*(J99/J$10)</f>
        <v>2.71</v>
      </c>
      <c r="L99" s="139">
        <f>'DADOS BÁSICOS 2º ANO'!$H$62</f>
        <v>0.26879999999999998</v>
      </c>
      <c r="M99" s="141">
        <f t="shared" ref="M99:M108" si="156">(M$93/30)*(L99/L$10)</f>
        <v>2.73</v>
      </c>
      <c r="N99" s="139">
        <f>'DADOS BÁSICOS 2º ANO'!$H$62</f>
        <v>0.26879999999999998</v>
      </c>
      <c r="O99" s="141">
        <f t="shared" ref="O99:O108" si="157">(O$93/30)*(N99/N$10)</f>
        <v>2.74</v>
      </c>
      <c r="P99" s="139">
        <f>'DADOS BÁSICOS 2º ANO'!$H$62</f>
        <v>0.26879999999999998</v>
      </c>
      <c r="Q99" s="141">
        <f t="shared" ref="Q99:Q108" si="158">(Q$93/30)*(P99/P$10)</f>
        <v>2.72</v>
      </c>
      <c r="R99" s="139">
        <f>'DADOS BÁSICOS 2º ANO'!$H$62</f>
        <v>0.26879999999999998</v>
      </c>
      <c r="S99" s="141">
        <f t="shared" ref="S99:S108" si="159">(S$93/30)*(R99/R$10)</f>
        <v>2.74</v>
      </c>
    </row>
    <row r="100" spans="1:19" ht="16.5" customHeight="1">
      <c r="A100" s="140" t="s">
        <v>228</v>
      </c>
      <c r="B100" s="300" t="s">
        <v>214</v>
      </c>
      <c r="C100" s="300"/>
      <c r="D100" s="300"/>
      <c r="E100" s="300"/>
      <c r="F100" s="300"/>
      <c r="G100" s="300"/>
      <c r="H100" s="139">
        <f>'DADOS BÁSICOS 2º ANO'!$H$63</f>
        <v>4.2599999999999999E-2</v>
      </c>
      <c r="I100" s="141">
        <f t="shared" si="154"/>
        <v>0.43</v>
      </c>
      <c r="J100" s="139">
        <f>'DADOS BÁSICOS 2º ANO'!$H$63</f>
        <v>4.2599999999999999E-2</v>
      </c>
      <c r="K100" s="141">
        <f t="shared" si="155"/>
        <v>0.43</v>
      </c>
      <c r="L100" s="139">
        <f>'DADOS BÁSICOS 2º ANO'!$H$63</f>
        <v>4.2599999999999999E-2</v>
      </c>
      <c r="M100" s="141">
        <f t="shared" si="156"/>
        <v>0.43</v>
      </c>
      <c r="N100" s="139">
        <f>'DADOS BÁSICOS 2º ANO'!$H$63</f>
        <v>4.2599999999999999E-2</v>
      </c>
      <c r="O100" s="141">
        <f t="shared" si="157"/>
        <v>0.43</v>
      </c>
      <c r="P100" s="139">
        <f>'DADOS BÁSICOS 2º ANO'!$H$63</f>
        <v>4.2599999999999999E-2</v>
      </c>
      <c r="Q100" s="141">
        <f t="shared" si="158"/>
        <v>0.43</v>
      </c>
      <c r="R100" s="139">
        <f>'DADOS BÁSICOS 2º ANO'!$H$63</f>
        <v>4.2599999999999999E-2</v>
      </c>
      <c r="S100" s="141">
        <f t="shared" si="159"/>
        <v>0.43</v>
      </c>
    </row>
    <row r="101" spans="1:19" ht="16.5" customHeight="1">
      <c r="A101" s="140" t="s">
        <v>229</v>
      </c>
      <c r="B101" s="300" t="s">
        <v>215</v>
      </c>
      <c r="C101" s="300"/>
      <c r="D101" s="300"/>
      <c r="E101" s="300"/>
      <c r="F101" s="300"/>
      <c r="G101" s="300"/>
      <c r="H101" s="139">
        <f>'DADOS BÁSICOS 2º ANO'!$H$64</f>
        <v>3.5400000000000001E-2</v>
      </c>
      <c r="I101" s="141">
        <f t="shared" si="154"/>
        <v>0.36</v>
      </c>
      <c r="J101" s="139">
        <f>'DADOS BÁSICOS 2º ANO'!$H$64</f>
        <v>3.5400000000000001E-2</v>
      </c>
      <c r="K101" s="141">
        <f t="shared" si="155"/>
        <v>0.36</v>
      </c>
      <c r="L101" s="139">
        <f>'DADOS BÁSICOS 2º ANO'!$H$64</f>
        <v>3.5400000000000001E-2</v>
      </c>
      <c r="M101" s="141">
        <f t="shared" si="156"/>
        <v>0.36</v>
      </c>
      <c r="N101" s="139">
        <f>'DADOS BÁSICOS 2º ANO'!$H$64</f>
        <v>3.5400000000000001E-2</v>
      </c>
      <c r="O101" s="141">
        <f t="shared" si="157"/>
        <v>0.36</v>
      </c>
      <c r="P101" s="139">
        <f>'DADOS BÁSICOS 2º ANO'!$H$64</f>
        <v>3.5400000000000001E-2</v>
      </c>
      <c r="Q101" s="141">
        <f t="shared" si="158"/>
        <v>0.36</v>
      </c>
      <c r="R101" s="139">
        <f>'DADOS BÁSICOS 2º ANO'!$H$64</f>
        <v>3.5400000000000001E-2</v>
      </c>
      <c r="S101" s="141">
        <f t="shared" si="159"/>
        <v>0.36</v>
      </c>
    </row>
    <row r="102" spans="1:19" ht="16.5" customHeight="1">
      <c r="A102" s="140" t="s">
        <v>230</v>
      </c>
      <c r="B102" s="300" t="s">
        <v>216</v>
      </c>
      <c r="C102" s="300"/>
      <c r="D102" s="300"/>
      <c r="E102" s="300"/>
      <c r="F102" s="300"/>
      <c r="G102" s="300"/>
      <c r="H102" s="139">
        <f>'DADOS BÁSICOS 2º ANO'!$H$65</f>
        <v>0.02</v>
      </c>
      <c r="I102" s="141">
        <f t="shared" si="154"/>
        <v>0.2</v>
      </c>
      <c r="J102" s="139">
        <f>'DADOS BÁSICOS 2º ANO'!$H$65</f>
        <v>0.02</v>
      </c>
      <c r="K102" s="141">
        <f t="shared" si="155"/>
        <v>0.2</v>
      </c>
      <c r="L102" s="139">
        <f>'DADOS BÁSICOS 2º ANO'!$H$65</f>
        <v>0.02</v>
      </c>
      <c r="M102" s="141">
        <f t="shared" si="156"/>
        <v>0.2</v>
      </c>
      <c r="N102" s="139">
        <f>'DADOS BÁSICOS 2º ANO'!$H$65</f>
        <v>0.02</v>
      </c>
      <c r="O102" s="141">
        <f t="shared" si="157"/>
        <v>0.2</v>
      </c>
      <c r="P102" s="139">
        <f>'DADOS BÁSICOS 2º ANO'!$H$65</f>
        <v>0.02</v>
      </c>
      <c r="Q102" s="141">
        <f t="shared" si="158"/>
        <v>0.2</v>
      </c>
      <c r="R102" s="139">
        <f>'DADOS BÁSICOS 2º ANO'!$H$65</f>
        <v>0.02</v>
      </c>
      <c r="S102" s="141">
        <f t="shared" si="159"/>
        <v>0.2</v>
      </c>
    </row>
    <row r="103" spans="1:19" ht="16.5" customHeight="1">
      <c r="A103" s="140" t="s">
        <v>231</v>
      </c>
      <c r="B103" s="300" t="s">
        <v>217</v>
      </c>
      <c r="C103" s="300"/>
      <c r="D103" s="300"/>
      <c r="E103" s="300"/>
      <c r="F103" s="300"/>
      <c r="G103" s="300"/>
      <c r="H103" s="139">
        <f>'DADOS BÁSICOS 2º ANO'!$H$66</f>
        <v>4.0000000000000001E-3</v>
      </c>
      <c r="I103" s="141">
        <f t="shared" si="154"/>
        <v>0.04</v>
      </c>
      <c r="J103" s="139">
        <f>'DADOS BÁSICOS 2º ANO'!$H$66</f>
        <v>4.0000000000000001E-3</v>
      </c>
      <c r="K103" s="141">
        <f t="shared" si="155"/>
        <v>0.04</v>
      </c>
      <c r="L103" s="139">
        <f>'DADOS BÁSICOS 2º ANO'!$H$66</f>
        <v>4.0000000000000001E-3</v>
      </c>
      <c r="M103" s="141">
        <f t="shared" si="156"/>
        <v>0.04</v>
      </c>
      <c r="N103" s="139">
        <f>'DADOS BÁSICOS 2º ANO'!$H$66</f>
        <v>4.0000000000000001E-3</v>
      </c>
      <c r="O103" s="141">
        <f t="shared" si="157"/>
        <v>0.04</v>
      </c>
      <c r="P103" s="139">
        <f>'DADOS BÁSICOS 2º ANO'!$H$66</f>
        <v>4.0000000000000001E-3</v>
      </c>
      <c r="Q103" s="141">
        <f t="shared" si="158"/>
        <v>0.04</v>
      </c>
      <c r="R103" s="139">
        <f>'DADOS BÁSICOS 2º ANO'!$H$66</f>
        <v>4.0000000000000001E-3</v>
      </c>
      <c r="S103" s="141">
        <f t="shared" si="159"/>
        <v>0.04</v>
      </c>
    </row>
    <row r="104" spans="1:19" ht="16.5" customHeight="1">
      <c r="A104" s="140" t="s">
        <v>232</v>
      </c>
      <c r="B104" s="300" t="s">
        <v>218</v>
      </c>
      <c r="C104" s="300"/>
      <c r="D104" s="300"/>
      <c r="E104" s="300"/>
      <c r="F104" s="300"/>
      <c r="G104" s="300"/>
      <c r="H104" s="139">
        <f>'DADOS BÁSICOS 2º ANO'!$H$67</f>
        <v>9.5999999999999992E-3</v>
      </c>
      <c r="I104" s="141">
        <f t="shared" si="154"/>
        <v>0.1</v>
      </c>
      <c r="J104" s="139">
        <f>'DADOS BÁSICOS 2º ANO'!$H$67</f>
        <v>9.5999999999999992E-3</v>
      </c>
      <c r="K104" s="141">
        <f t="shared" si="155"/>
        <v>0.1</v>
      </c>
      <c r="L104" s="139">
        <f>'DADOS BÁSICOS 2º ANO'!$H$67</f>
        <v>9.5999999999999992E-3</v>
      </c>
      <c r="M104" s="141">
        <f t="shared" si="156"/>
        <v>0.1</v>
      </c>
      <c r="N104" s="139">
        <f>'DADOS BÁSICOS 2º ANO'!$H$67</f>
        <v>9.5999999999999992E-3</v>
      </c>
      <c r="O104" s="141">
        <f t="shared" si="157"/>
        <v>0.1</v>
      </c>
      <c r="P104" s="139">
        <f>'DADOS BÁSICOS 2º ANO'!$H$67</f>
        <v>9.5999999999999992E-3</v>
      </c>
      <c r="Q104" s="141">
        <f t="shared" si="158"/>
        <v>0.1</v>
      </c>
      <c r="R104" s="139">
        <f>'DADOS BÁSICOS 2º ANO'!$H$67</f>
        <v>9.5999999999999992E-3</v>
      </c>
      <c r="S104" s="141">
        <f t="shared" si="159"/>
        <v>0.1</v>
      </c>
    </row>
    <row r="105" spans="1:19" ht="16.5" customHeight="1">
      <c r="A105" s="69" t="s">
        <v>60</v>
      </c>
      <c r="B105" s="301" t="s">
        <v>136</v>
      </c>
      <c r="C105" s="301"/>
      <c r="D105" s="301"/>
      <c r="E105" s="301"/>
      <c r="F105" s="301"/>
      <c r="G105" s="301"/>
      <c r="H105" s="139">
        <f>'DADOS BÁSICOS 2º ANO'!$H$68</f>
        <v>0.19980000000000001</v>
      </c>
      <c r="I105" s="71">
        <f t="shared" si="154"/>
        <v>2.04</v>
      </c>
      <c r="J105" s="139">
        <f>'DADOS BÁSICOS 2º ANO'!$H$68</f>
        <v>0.19980000000000001</v>
      </c>
      <c r="K105" s="71">
        <f t="shared" si="155"/>
        <v>2.0099999999999998</v>
      </c>
      <c r="L105" s="139">
        <f>'DADOS BÁSICOS 2º ANO'!$H$68</f>
        <v>0.19980000000000001</v>
      </c>
      <c r="M105" s="71">
        <f t="shared" si="156"/>
        <v>2.0299999999999998</v>
      </c>
      <c r="N105" s="139">
        <f>'DADOS BÁSICOS 2º ANO'!$H$68</f>
        <v>0.19980000000000001</v>
      </c>
      <c r="O105" s="71">
        <f t="shared" si="157"/>
        <v>2.0299999999999998</v>
      </c>
      <c r="P105" s="139">
        <f>'DADOS BÁSICOS 2º ANO'!$H$68</f>
        <v>0.19980000000000001</v>
      </c>
      <c r="Q105" s="71">
        <f t="shared" si="158"/>
        <v>2.02</v>
      </c>
      <c r="R105" s="139">
        <f>'DADOS BÁSICOS 2º ANO'!$H$68</f>
        <v>0.19980000000000001</v>
      </c>
      <c r="S105" s="71">
        <f t="shared" si="159"/>
        <v>2.0299999999999998</v>
      </c>
    </row>
    <row r="106" spans="1:19" ht="16.5" customHeight="1">
      <c r="A106" s="69" t="s">
        <v>62</v>
      </c>
      <c r="B106" s="301" t="s">
        <v>137</v>
      </c>
      <c r="C106" s="301"/>
      <c r="D106" s="301"/>
      <c r="E106" s="301"/>
      <c r="F106" s="301"/>
      <c r="G106" s="301"/>
      <c r="H106" s="139">
        <f>'DADOS BÁSICOS 2º ANO'!$H$69</f>
        <v>0.96619999999999995</v>
      </c>
      <c r="I106" s="71">
        <f t="shared" si="154"/>
        <v>9.86</v>
      </c>
      <c r="J106" s="139">
        <f>'DADOS BÁSICOS 2º ANO'!$H$69</f>
        <v>0.96619999999999995</v>
      </c>
      <c r="K106" s="71">
        <f t="shared" si="155"/>
        <v>9.73</v>
      </c>
      <c r="L106" s="139">
        <f>'DADOS BÁSICOS 2º ANO'!$H$69</f>
        <v>0.96619999999999995</v>
      </c>
      <c r="M106" s="71">
        <f t="shared" si="156"/>
        <v>9.83</v>
      </c>
      <c r="N106" s="139">
        <f>'DADOS BÁSICOS 2º ANO'!$H$69</f>
        <v>0.96619999999999995</v>
      </c>
      <c r="O106" s="71">
        <f t="shared" si="157"/>
        <v>9.84</v>
      </c>
      <c r="P106" s="139">
        <f>'DADOS BÁSICOS 2º ANO'!$H$69</f>
        <v>0.96619999999999995</v>
      </c>
      <c r="Q106" s="71">
        <f t="shared" si="158"/>
        <v>9.77</v>
      </c>
      <c r="R106" s="139">
        <f>'DADOS BÁSICOS 2º ANO'!$H$69</f>
        <v>0.96619999999999995</v>
      </c>
      <c r="S106" s="71">
        <f t="shared" si="159"/>
        <v>9.84</v>
      </c>
    </row>
    <row r="107" spans="1:19" ht="16.5" customHeight="1">
      <c r="A107" s="69" t="s">
        <v>64</v>
      </c>
      <c r="B107" s="301" t="s">
        <v>138</v>
      </c>
      <c r="C107" s="301"/>
      <c r="D107" s="301"/>
      <c r="E107" s="301"/>
      <c r="F107" s="301"/>
      <c r="G107" s="301"/>
      <c r="H107" s="139">
        <f>'DADOS BÁSICOS 2º ANO'!$H$70</f>
        <v>2.4771999999999998</v>
      </c>
      <c r="I107" s="71">
        <f t="shared" si="154"/>
        <v>25.28</v>
      </c>
      <c r="J107" s="139">
        <f>'DADOS BÁSICOS 2º ANO'!$H$70</f>
        <v>2.4771999999999998</v>
      </c>
      <c r="K107" s="71">
        <f t="shared" si="155"/>
        <v>24.95</v>
      </c>
      <c r="L107" s="139">
        <f>'DADOS BÁSICOS 2º ANO'!$H$70</f>
        <v>2.4771999999999998</v>
      </c>
      <c r="M107" s="71">
        <f t="shared" si="156"/>
        <v>25.2</v>
      </c>
      <c r="N107" s="139">
        <f>'DADOS BÁSICOS 2º ANO'!$H$70</f>
        <v>2.4771999999999998</v>
      </c>
      <c r="O107" s="71">
        <f t="shared" si="157"/>
        <v>25.22</v>
      </c>
      <c r="P107" s="139">
        <f>'DADOS BÁSICOS 2º ANO'!$H$70</f>
        <v>2.4771999999999998</v>
      </c>
      <c r="Q107" s="71">
        <f t="shared" si="158"/>
        <v>25.04</v>
      </c>
      <c r="R107" s="139">
        <f>'DADOS BÁSICOS 2º ANO'!$H$70</f>
        <v>2.4771999999999998</v>
      </c>
      <c r="S107" s="71">
        <f t="shared" si="159"/>
        <v>25.22</v>
      </c>
    </row>
    <row r="108" spans="1:19" ht="16.5" customHeight="1">
      <c r="A108" s="41" t="s">
        <v>66</v>
      </c>
      <c r="B108" s="301" t="s">
        <v>139</v>
      </c>
      <c r="C108" s="301"/>
      <c r="D108" s="301"/>
      <c r="E108" s="301"/>
      <c r="F108" s="301"/>
      <c r="G108" s="301"/>
      <c r="H108" s="139">
        <f>'DADOS BÁSICOS 2º ANO'!$H$71</f>
        <v>0</v>
      </c>
      <c r="I108" s="71">
        <f t="shared" si="154"/>
        <v>0</v>
      </c>
      <c r="J108" s="139">
        <f>'DADOS BÁSICOS 2º ANO'!$H$71</f>
        <v>0</v>
      </c>
      <c r="K108" s="71">
        <f t="shared" si="155"/>
        <v>0</v>
      </c>
      <c r="L108" s="139">
        <f>'DADOS BÁSICOS 2º ANO'!$H$71</f>
        <v>0</v>
      </c>
      <c r="M108" s="71">
        <f t="shared" si="156"/>
        <v>0</v>
      </c>
      <c r="N108" s="139">
        <f>'DADOS BÁSICOS 2º ANO'!$H$71</f>
        <v>0</v>
      </c>
      <c r="O108" s="71">
        <f t="shared" si="157"/>
        <v>0</v>
      </c>
      <c r="P108" s="139">
        <f>'DADOS BÁSICOS 2º ANO'!$H$71</f>
        <v>0</v>
      </c>
      <c r="Q108" s="71">
        <f t="shared" si="158"/>
        <v>0</v>
      </c>
      <c r="R108" s="139">
        <f>'DADOS BÁSICOS 2º ANO'!$H$71</f>
        <v>0</v>
      </c>
      <c r="S108" s="71">
        <f t="shared" si="159"/>
        <v>0</v>
      </c>
    </row>
    <row r="109" spans="1:19">
      <c r="A109" s="287" t="s">
        <v>85</v>
      </c>
      <c r="B109" s="287"/>
      <c r="C109" s="287"/>
      <c r="D109" s="287"/>
      <c r="E109" s="287"/>
      <c r="F109" s="287"/>
      <c r="G109" s="287"/>
      <c r="H109" s="142">
        <f>H96+H105+H106+H107+H108</f>
        <v>8.5166000000000004</v>
      </c>
      <c r="I109" s="80">
        <f>I96+I105+I106+I107+I108</f>
        <v>86.9</v>
      </c>
      <c r="J109" s="142">
        <f>$H109</f>
        <v>8.5166000000000004</v>
      </c>
      <c r="K109" s="80">
        <f>K96+K105+K106+K107+K108</f>
        <v>85.78</v>
      </c>
      <c r="L109" s="142">
        <f>$H109</f>
        <v>8.5166000000000004</v>
      </c>
      <c r="M109" s="80">
        <f>M96+M105+M106+M107+M108</f>
        <v>86.63</v>
      </c>
      <c r="N109" s="142">
        <f>$H109</f>
        <v>8.5166000000000004</v>
      </c>
      <c r="O109" s="80">
        <f>O96+O105+O106+O107+O108</f>
        <v>86.7</v>
      </c>
      <c r="P109" s="142">
        <f>$H109</f>
        <v>8.5166000000000004</v>
      </c>
      <c r="Q109" s="80">
        <f>Q96+Q105+Q106+Q107+Q108</f>
        <v>86.09</v>
      </c>
      <c r="R109" s="142">
        <f>$H109</f>
        <v>8.5166000000000004</v>
      </c>
      <c r="S109" s="80">
        <f>S96+S105+S106+S107+S108</f>
        <v>86.7</v>
      </c>
    </row>
    <row r="110" spans="1:19">
      <c r="A110" s="143" t="s">
        <v>140</v>
      </c>
      <c r="B110" s="290" t="s">
        <v>141</v>
      </c>
      <c r="C110" s="290"/>
      <c r="D110" s="290"/>
      <c r="E110" s="290"/>
      <c r="F110" s="290"/>
      <c r="G110" s="290"/>
      <c r="H110" s="144"/>
      <c r="I110" s="145" t="s">
        <v>79</v>
      </c>
      <c r="J110" s="144"/>
      <c r="K110" s="145" t="s">
        <v>79</v>
      </c>
      <c r="L110" s="144"/>
      <c r="M110" s="145" t="s">
        <v>79</v>
      </c>
      <c r="N110" s="144"/>
      <c r="O110" s="145" t="s">
        <v>79</v>
      </c>
      <c r="P110" s="144"/>
      <c r="Q110" s="145" t="s">
        <v>79</v>
      </c>
      <c r="R110" s="144"/>
      <c r="S110" s="145" t="s">
        <v>79</v>
      </c>
    </row>
    <row r="111" spans="1:19" ht="16.5" customHeight="1">
      <c r="A111" s="69" t="s">
        <v>58</v>
      </c>
      <c r="B111" s="286" t="s">
        <v>142</v>
      </c>
      <c r="C111" s="286"/>
      <c r="D111" s="286"/>
      <c r="E111" s="286"/>
      <c r="F111" s="286"/>
      <c r="G111" s="286"/>
      <c r="H111" s="48"/>
      <c r="I111" s="146">
        <v>0</v>
      </c>
      <c r="J111" s="48"/>
      <c r="K111" s="146">
        <v>0</v>
      </c>
      <c r="L111" s="48"/>
      <c r="M111" s="146">
        <v>0</v>
      </c>
      <c r="N111" s="48"/>
      <c r="O111" s="146">
        <v>0</v>
      </c>
      <c r="P111" s="48"/>
      <c r="Q111" s="146">
        <v>0</v>
      </c>
      <c r="R111" s="48"/>
      <c r="S111" s="146">
        <v>0</v>
      </c>
    </row>
    <row r="112" spans="1:19">
      <c r="A112" s="287" t="s">
        <v>85</v>
      </c>
      <c r="B112" s="287"/>
      <c r="C112" s="287"/>
      <c r="D112" s="287"/>
      <c r="E112" s="287"/>
      <c r="F112" s="287"/>
      <c r="G112" s="287"/>
      <c r="H112" s="113"/>
      <c r="I112" s="147">
        <f>SUM(I111:I111)</f>
        <v>0</v>
      </c>
      <c r="J112" s="113"/>
      <c r="K112" s="147">
        <f>SUM(K111:K111)</f>
        <v>0</v>
      </c>
      <c r="L112" s="113"/>
      <c r="M112" s="147">
        <f>SUM(M111:M111)</f>
        <v>0</v>
      </c>
      <c r="N112" s="113"/>
      <c r="O112" s="147">
        <f>SUM(O111:O111)</f>
        <v>0</v>
      </c>
      <c r="P112" s="113"/>
      <c r="Q112" s="147">
        <f>SUM(Q111:Q111)</f>
        <v>0</v>
      </c>
      <c r="R112" s="113"/>
      <c r="S112" s="147">
        <f>SUM(S111:S111)</f>
        <v>0</v>
      </c>
    </row>
    <row r="113" spans="1:20" ht="21.75" customHeight="1">
      <c r="A113" s="37" t="s">
        <v>143</v>
      </c>
      <c r="B113" s="63"/>
      <c r="C113" s="63"/>
      <c r="D113" s="63"/>
      <c r="E113" s="63"/>
      <c r="F113" s="63"/>
      <c r="G113" s="63"/>
      <c r="H113" s="64"/>
      <c r="I113" s="65"/>
      <c r="J113" s="64"/>
      <c r="K113" s="65"/>
      <c r="L113" s="64"/>
      <c r="M113" s="65"/>
      <c r="N113" s="64"/>
      <c r="O113" s="65"/>
      <c r="P113" s="64"/>
      <c r="Q113" s="65"/>
      <c r="R113" s="64"/>
      <c r="S113" s="65"/>
    </row>
    <row r="114" spans="1:20" ht="12.75" customHeight="1">
      <c r="A114" s="66">
        <v>4</v>
      </c>
      <c r="B114" s="288" t="s">
        <v>144</v>
      </c>
      <c r="C114" s="288"/>
      <c r="D114" s="288"/>
      <c r="E114" s="288"/>
      <c r="F114" s="288"/>
      <c r="G114" s="288"/>
      <c r="H114" s="148"/>
      <c r="I114" s="68" t="s">
        <v>79</v>
      </c>
      <c r="J114" s="148"/>
      <c r="K114" s="68" t="s">
        <v>79</v>
      </c>
      <c r="L114" s="148"/>
      <c r="M114" s="68" t="s">
        <v>79</v>
      </c>
      <c r="N114" s="148"/>
      <c r="O114" s="68" t="s">
        <v>79</v>
      </c>
      <c r="P114" s="148"/>
      <c r="Q114" s="68" t="s">
        <v>79</v>
      </c>
      <c r="R114" s="148"/>
      <c r="S114" s="68" t="s">
        <v>79</v>
      </c>
    </row>
    <row r="115" spans="1:20" ht="12.75" customHeight="1">
      <c r="A115" s="85" t="s">
        <v>132</v>
      </c>
      <c r="B115" s="284" t="s">
        <v>133</v>
      </c>
      <c r="C115" s="284"/>
      <c r="D115" s="284"/>
      <c r="E115" s="284"/>
      <c r="F115" s="284"/>
      <c r="G115" s="284"/>
      <c r="H115" s="149"/>
      <c r="I115" s="71">
        <f>I109</f>
        <v>86.9</v>
      </c>
      <c r="J115" s="149"/>
      <c r="K115" s="71">
        <f>K109</f>
        <v>85.78</v>
      </c>
      <c r="L115" s="149"/>
      <c r="M115" s="71">
        <f>M109</f>
        <v>86.63</v>
      </c>
      <c r="N115" s="149"/>
      <c r="O115" s="71">
        <f>O109</f>
        <v>86.7</v>
      </c>
      <c r="P115" s="149"/>
      <c r="Q115" s="71">
        <f>Q109</f>
        <v>86.09</v>
      </c>
      <c r="R115" s="149"/>
      <c r="S115" s="71">
        <f>S109</f>
        <v>86.7</v>
      </c>
    </row>
    <row r="116" spans="1:20" ht="12.75" customHeight="1">
      <c r="A116" s="85" t="s">
        <v>140</v>
      </c>
      <c r="B116" s="299" t="s">
        <v>145</v>
      </c>
      <c r="C116" s="299"/>
      <c r="D116" s="299"/>
      <c r="E116" s="299"/>
      <c r="F116" s="299"/>
      <c r="G116" s="299"/>
      <c r="H116" s="150"/>
      <c r="I116" s="71">
        <f>I112</f>
        <v>0</v>
      </c>
      <c r="J116" s="150"/>
      <c r="K116" s="71">
        <f>K112</f>
        <v>0</v>
      </c>
      <c r="L116" s="150"/>
      <c r="M116" s="71">
        <f>M112</f>
        <v>0</v>
      </c>
      <c r="N116" s="150"/>
      <c r="O116" s="71">
        <f>O112</f>
        <v>0</v>
      </c>
      <c r="P116" s="150"/>
      <c r="Q116" s="71">
        <f>Q112</f>
        <v>0</v>
      </c>
      <c r="R116" s="150"/>
      <c r="S116" s="71">
        <f>S112</f>
        <v>0</v>
      </c>
    </row>
    <row r="117" spans="1:20">
      <c r="A117" s="298" t="s">
        <v>85</v>
      </c>
      <c r="B117" s="298"/>
      <c r="C117" s="298"/>
      <c r="D117" s="298"/>
      <c r="E117" s="298"/>
      <c r="F117" s="298"/>
      <c r="G117" s="298"/>
      <c r="H117" s="151"/>
      <c r="I117" s="80">
        <f>SUM(I115:I116)</f>
        <v>86.9</v>
      </c>
      <c r="J117" s="151"/>
      <c r="K117" s="80">
        <f>SUM(K115:K116)</f>
        <v>85.78</v>
      </c>
      <c r="L117" s="151"/>
      <c r="M117" s="80">
        <f>SUM(M115:M116)</f>
        <v>86.63</v>
      </c>
      <c r="N117" s="151"/>
      <c r="O117" s="80">
        <f>SUM(O115:O116)</f>
        <v>86.7</v>
      </c>
      <c r="P117" s="151"/>
      <c r="Q117" s="80">
        <f>SUM(Q115:Q116)</f>
        <v>86.09</v>
      </c>
      <c r="R117" s="151"/>
      <c r="S117" s="80">
        <f>SUM(S115:S116)</f>
        <v>86.7</v>
      </c>
    </row>
    <row r="118" spans="1:20" ht="18.75" customHeight="1">
      <c r="A118" s="37" t="s">
        <v>146</v>
      </c>
      <c r="B118" s="38"/>
      <c r="C118" s="38"/>
      <c r="D118" s="38"/>
      <c r="E118" s="38"/>
      <c r="F118" s="38"/>
      <c r="G118" s="38"/>
      <c r="H118" s="39"/>
      <c r="I118" s="40"/>
      <c r="J118" s="39"/>
      <c r="K118" s="40"/>
      <c r="L118" s="39"/>
      <c r="M118" s="40"/>
      <c r="N118" s="39"/>
      <c r="O118" s="40"/>
      <c r="P118" s="39"/>
      <c r="Q118" s="40"/>
      <c r="R118" s="39"/>
      <c r="S118" s="40"/>
    </row>
    <row r="119" spans="1:20" ht="12.75" customHeight="1">
      <c r="A119" s="66">
        <v>5</v>
      </c>
      <c r="B119" s="288" t="s">
        <v>147</v>
      </c>
      <c r="C119" s="288"/>
      <c r="D119" s="288"/>
      <c r="E119" s="288"/>
      <c r="F119" s="288"/>
      <c r="G119" s="288"/>
      <c r="H119" s="148"/>
      <c r="I119" s="68" t="s">
        <v>79</v>
      </c>
      <c r="J119" s="148"/>
      <c r="K119" s="68" t="s">
        <v>79</v>
      </c>
      <c r="L119" s="148"/>
      <c r="M119" s="68" t="s">
        <v>79</v>
      </c>
      <c r="N119" s="148"/>
      <c r="O119" s="68" t="s">
        <v>79</v>
      </c>
      <c r="P119" s="148"/>
      <c r="Q119" s="68" t="s">
        <v>79</v>
      </c>
      <c r="R119" s="148"/>
      <c r="S119" s="68" t="s">
        <v>79</v>
      </c>
    </row>
    <row r="120" spans="1:20" ht="15" customHeight="1">
      <c r="A120" s="154" t="s">
        <v>58</v>
      </c>
      <c r="B120" s="295" t="s">
        <v>40</v>
      </c>
      <c r="C120" s="295"/>
      <c r="D120" s="295"/>
      <c r="E120" s="295"/>
      <c r="F120" s="295"/>
      <c r="G120" s="295"/>
      <c r="H120" s="149"/>
      <c r="I120" s="71">
        <f>SUM(I121:I123)</f>
        <v>40.26</v>
      </c>
      <c r="J120" s="149"/>
      <c r="K120" s="71">
        <f t="shared" ref="K120" si="160">SUM(K121:K123)</f>
        <v>53.41</v>
      </c>
      <c r="L120" s="149"/>
      <c r="M120" s="71">
        <f t="shared" ref="M120" si="161">SUM(M121:M123)</f>
        <v>43.24</v>
      </c>
      <c r="N120" s="149"/>
      <c r="O120" s="71">
        <f t="shared" ref="O120" si="162">SUM(O121:O123)</f>
        <v>41.55</v>
      </c>
      <c r="P120" s="149"/>
      <c r="Q120" s="71">
        <f t="shared" ref="Q120" si="163">SUM(Q121:Q123)</f>
        <v>47.49</v>
      </c>
      <c r="R120" s="149"/>
      <c r="S120" s="71">
        <f t="shared" ref="S120" si="164">SUM(S121:S123)</f>
        <v>53.41</v>
      </c>
      <c r="T120" s="153"/>
    </row>
    <row r="121" spans="1:20" ht="15" customHeight="1">
      <c r="A121" s="155" t="s">
        <v>219</v>
      </c>
      <c r="B121" s="286" t="s">
        <v>220</v>
      </c>
      <c r="C121" s="286"/>
      <c r="D121" s="286"/>
      <c r="E121" s="286"/>
      <c r="F121" s="286"/>
      <c r="G121" s="286"/>
      <c r="H121" s="149"/>
      <c r="I121" s="71">
        <f>'DADOS BÁSICOS 2º ANO'!$D$46</f>
        <v>35.61</v>
      </c>
      <c r="J121" s="149"/>
      <c r="K121" s="71">
        <f>'DADOS BÁSICOS 2º ANO'!$D$46</f>
        <v>35.61</v>
      </c>
      <c r="L121" s="149"/>
      <c r="M121" s="71">
        <f>'DADOS BÁSICOS 2º ANO'!$D$46</f>
        <v>35.61</v>
      </c>
      <c r="N121" s="149"/>
      <c r="O121" s="71">
        <f>'DADOS BÁSICOS 2º ANO'!$D$46</f>
        <v>35.61</v>
      </c>
      <c r="P121" s="149"/>
      <c r="Q121" s="71">
        <f>'DADOS BÁSICOS 2º ANO'!$D$46</f>
        <v>35.61</v>
      </c>
      <c r="R121" s="149"/>
      <c r="S121" s="71">
        <f>'DADOS BÁSICOS 2º ANO'!$D$46</f>
        <v>35.61</v>
      </c>
      <c r="T121" s="153"/>
    </row>
    <row r="122" spans="1:20" ht="15" customHeight="1">
      <c r="A122" s="158" t="s">
        <v>221</v>
      </c>
      <c r="B122" s="296" t="s">
        <v>223</v>
      </c>
      <c r="C122" s="296"/>
      <c r="D122" s="296"/>
      <c r="E122" s="296"/>
      <c r="F122" s="296"/>
      <c r="G122" s="296"/>
      <c r="H122" s="159">
        <f>(ROUNDUP(((H109*H11)/(365*0.6986)),0))/H11</f>
        <v>4.3499999999999997E-2</v>
      </c>
      <c r="I122" s="249">
        <f>'DADOS BÁSICOS 2º ANO'!$D$46*H122</f>
        <v>1.55</v>
      </c>
      <c r="J122" s="159">
        <f t="shared" ref="J122" si="165">(ROUNDUP(((J109*J11)/(365*0.6986)),0))/J11</f>
        <v>0.25</v>
      </c>
      <c r="K122" s="249">
        <f>'DADOS BÁSICOS 2º ANO'!$D$46*J122</f>
        <v>8.9</v>
      </c>
      <c r="L122" s="159">
        <f t="shared" ref="L122" si="166">(ROUNDUP(((L109*L11)/(365*0.6986)),0))/L11</f>
        <v>7.1400000000000005E-2</v>
      </c>
      <c r="M122" s="249">
        <f>'DADOS BÁSICOS 2º ANO'!$D$46*L122</f>
        <v>2.54</v>
      </c>
      <c r="N122" s="159">
        <f t="shared" ref="N122" si="167">(ROUNDUP(((N109*N11)/(365*0.6986)),0))/N11</f>
        <v>8.3299999999999999E-2</v>
      </c>
      <c r="O122" s="249">
        <f>'DADOS BÁSICOS 2º ANO'!$D$46*N122</f>
        <v>2.97</v>
      </c>
      <c r="P122" s="159">
        <f t="shared" ref="P122" si="168">(ROUNDUP(((P109*P11)/(365*0.6986)),0))/P11</f>
        <v>0.16669999999999999</v>
      </c>
      <c r="Q122" s="249">
        <f>'DADOS BÁSICOS 2º ANO'!$D$46*P122</f>
        <v>5.94</v>
      </c>
      <c r="R122" s="159">
        <f t="shared" ref="R122" si="169">(ROUNDUP(((R109*R11)/(365*0.6986)),0))/R11</f>
        <v>0.25</v>
      </c>
      <c r="S122" s="249">
        <f>'DADOS BÁSICOS 2º ANO'!$D$46*R122</f>
        <v>8.9</v>
      </c>
      <c r="T122" s="153"/>
    </row>
    <row r="123" spans="1:20" ht="15" customHeight="1">
      <c r="A123" s="108" t="s">
        <v>222</v>
      </c>
      <c r="B123" s="297" t="s">
        <v>209</v>
      </c>
      <c r="C123" s="297"/>
      <c r="D123" s="297"/>
      <c r="E123" s="297"/>
      <c r="F123" s="297"/>
      <c r="G123" s="297"/>
      <c r="H123" s="161">
        <f>((ROUNDUP((H11/12),0))/H11)</f>
        <v>8.6999999999999994E-2</v>
      </c>
      <c r="I123" s="250">
        <f>'DADOS BÁSICOS 2º ANO'!$D$46*H123</f>
        <v>3.1</v>
      </c>
      <c r="J123" s="161">
        <f t="shared" ref="J123" si="170">((ROUNDUP((J11/12),0))/J11)</f>
        <v>0.25</v>
      </c>
      <c r="K123" s="250">
        <f>'DADOS BÁSICOS 2º ANO'!$D$46*J123</f>
        <v>8.9</v>
      </c>
      <c r="L123" s="161">
        <f t="shared" ref="L123" si="171">((ROUNDUP((L11/12),0))/L11)</f>
        <v>0.1429</v>
      </c>
      <c r="M123" s="250">
        <f>'DADOS BÁSICOS 2º ANO'!$D$46*L123</f>
        <v>5.09</v>
      </c>
      <c r="N123" s="161">
        <f t="shared" ref="N123" si="172">((ROUNDUP((N11/12),0))/N11)</f>
        <v>8.3299999999999999E-2</v>
      </c>
      <c r="O123" s="250">
        <f>'DADOS BÁSICOS 2º ANO'!$D$46*N123</f>
        <v>2.97</v>
      </c>
      <c r="P123" s="161">
        <f t="shared" ref="P123" si="173">((ROUNDUP((P11/12),0))/P11)</f>
        <v>0.16669999999999999</v>
      </c>
      <c r="Q123" s="250">
        <f>'DADOS BÁSICOS 2º ANO'!$D$46*P123</f>
        <v>5.94</v>
      </c>
      <c r="R123" s="161">
        <f t="shared" ref="R123" si="174">((ROUNDUP((R11/12),0))/R11)</f>
        <v>0.25</v>
      </c>
      <c r="S123" s="250">
        <f>'DADOS BÁSICOS 2º ANO'!$D$46*R123</f>
        <v>8.9</v>
      </c>
      <c r="T123" s="153"/>
    </row>
    <row r="124" spans="1:20" ht="12.75" customHeight="1">
      <c r="A124" s="154" t="s">
        <v>60</v>
      </c>
      <c r="B124" s="295" t="s">
        <v>44</v>
      </c>
      <c r="C124" s="295"/>
      <c r="D124" s="295"/>
      <c r="E124" s="295"/>
      <c r="F124" s="295"/>
      <c r="G124" s="295"/>
      <c r="H124" s="149"/>
      <c r="I124" s="163">
        <f>'DADOS BÁSICOS 2º ANO'!$D$50/H10</f>
        <v>0</v>
      </c>
      <c r="J124" s="149"/>
      <c r="K124" s="163">
        <f>'DADOS BÁSICOS 2º ANO'!$D$50/J10</f>
        <v>0</v>
      </c>
      <c r="L124" s="149"/>
      <c r="M124" s="163">
        <f>'DADOS BÁSICOS 2º ANO'!$D$50/L10</f>
        <v>0</v>
      </c>
      <c r="N124" s="149"/>
      <c r="O124" s="163">
        <f>'DADOS BÁSICOS 2º ANO'!$D$50/N10</f>
        <v>0</v>
      </c>
      <c r="P124" s="149"/>
      <c r="Q124" s="163">
        <f>'DADOS BÁSICOS 2º ANO'!$D$50/P10</f>
        <v>0</v>
      </c>
      <c r="R124" s="149"/>
      <c r="S124" s="163">
        <f>'DADOS BÁSICOS 2º ANO'!$D$50/R10</f>
        <v>0</v>
      </c>
      <c r="T124" s="153"/>
    </row>
    <row r="125" spans="1:20" ht="16.5" customHeight="1">
      <c r="A125" s="154" t="s">
        <v>62</v>
      </c>
      <c r="B125" s="295" t="s">
        <v>47</v>
      </c>
      <c r="C125" s="295"/>
      <c r="D125" s="295"/>
      <c r="E125" s="295"/>
      <c r="F125" s="295"/>
      <c r="G125" s="295"/>
      <c r="H125" s="149"/>
      <c r="I125" s="163">
        <f>SUM(I126:I128)</f>
        <v>0.24</v>
      </c>
      <c r="J125" s="149"/>
      <c r="K125" s="163">
        <f t="shared" ref="K125" si="175">SUM(K126:K128)</f>
        <v>2.0699999999999998</v>
      </c>
      <c r="L125" s="149"/>
      <c r="M125" s="163">
        <f t="shared" ref="M125" si="176">SUM(M126:M128)</f>
        <v>0.79</v>
      </c>
      <c r="N125" s="149"/>
      <c r="O125" s="163">
        <f t="shared" ref="O125" si="177">SUM(O126:O128)</f>
        <v>0.97</v>
      </c>
      <c r="P125" s="149"/>
      <c r="Q125" s="163">
        <f t="shared" ref="Q125" si="178">SUM(Q126:Q128)</f>
        <v>1.64</v>
      </c>
      <c r="R125" s="149"/>
      <c r="S125" s="163">
        <f t="shared" ref="S125" si="179">SUM(S126:S128)</f>
        <v>2.0699999999999998</v>
      </c>
      <c r="T125" s="164"/>
    </row>
    <row r="126" spans="1:20" ht="12.75" customHeight="1">
      <c r="A126" s="69" t="s">
        <v>224</v>
      </c>
      <c r="B126" s="286" t="s">
        <v>226</v>
      </c>
      <c r="C126" s="286"/>
      <c r="D126" s="286"/>
      <c r="E126" s="286"/>
      <c r="F126" s="286"/>
      <c r="G126" s="286"/>
      <c r="H126" s="149"/>
      <c r="I126" s="163">
        <f>('DADOS BÁSICOS 2º ANO'!$G$54/'DADOS BÁSICOS 2º ANO'!$C$54)/(H$11+'TELEFONISTA 2º ANO'!$H$11)</f>
        <v>0.28999999999999998</v>
      </c>
      <c r="J126" s="149"/>
      <c r="K126" s="163">
        <f>('DADOS BÁSICOS 2º ANO'!$G$54/'DADOS BÁSICOS 2º ANO'!$C$54)/J$11</f>
        <v>3.45</v>
      </c>
      <c r="L126" s="149"/>
      <c r="M126" s="163">
        <f>('DADOS BÁSICOS 2º ANO'!$G$54/'DADOS BÁSICOS 2º ANO'!$C$54)/L$11</f>
        <v>0.99</v>
      </c>
      <c r="N126" s="149"/>
      <c r="O126" s="163">
        <f>('DADOS BÁSICOS 2º ANO'!$G$54/'DADOS BÁSICOS 2º ANO'!$C$54)/N$11</f>
        <v>1.1499999999999999</v>
      </c>
      <c r="P126" s="149"/>
      <c r="Q126" s="163">
        <f>('DADOS BÁSICOS 2º ANO'!$G$54/'DADOS BÁSICOS 2º ANO'!$C$54)/P$11</f>
        <v>2.2999999999999998</v>
      </c>
      <c r="R126" s="149"/>
      <c r="S126" s="163">
        <f>('DADOS BÁSICOS 2º ANO'!$G$54/'DADOS BÁSICOS 2º ANO'!$C$54)/R$11</f>
        <v>3.45</v>
      </c>
      <c r="T126" s="164"/>
    </row>
    <row r="127" spans="1:20" ht="12.75" customHeight="1">
      <c r="A127" s="158" t="s">
        <v>225</v>
      </c>
      <c r="B127" s="296" t="s">
        <v>227</v>
      </c>
      <c r="C127" s="296"/>
      <c r="D127" s="296"/>
      <c r="E127" s="296"/>
      <c r="F127" s="296"/>
      <c r="G127" s="296"/>
      <c r="H127" s="159"/>
      <c r="I127" s="165">
        <f>(('DADOS BÁSICOS LICITAÇÃO'!$G$54/'DADOS BÁSICOS LICITAÇÃO'!$C$54)/($H$11+'TELEFONISTA 2º ANO'!$H$11+(ROUNDUP(((H109*H11)/(365*0.6986)),0)+(ROUNDUP((('TELEFONISTA 2º ANO'!H109*'TELEFONISTA 2º ANO'!H11)/(365*0.6986)),0))))-I126)</f>
        <v>-0.02</v>
      </c>
      <c r="J127" s="159"/>
      <c r="K127" s="165">
        <f>(('DADOS BÁSICOS LICITAÇÃO'!$G$54/'DADOS BÁSICOS LICITAÇÃO'!$C$54)/(J11+(ROUNDUP(((J109*J11)/(365*0.6986)),0))))-K126</f>
        <v>-0.69</v>
      </c>
      <c r="L127" s="159"/>
      <c r="M127" s="165">
        <f>(('DADOS BÁSICOS LICITAÇÃO'!$G$54/'DADOS BÁSICOS LICITAÇÃO'!$C$54)/(L11+(ROUNDUP(((L109*L11)/(365*0.6986)),0))))-M126</f>
        <v>-7.0000000000000007E-2</v>
      </c>
      <c r="N127" s="159"/>
      <c r="O127" s="165">
        <f>(('DADOS BÁSICOS LICITAÇÃO'!$G$54/'DADOS BÁSICOS LICITAÇÃO'!$C$54)/(N11+(ROUNDUP(((N109*N11)/(365*0.6986)),0))))-O126</f>
        <v>-0.09</v>
      </c>
      <c r="P127" s="159"/>
      <c r="Q127" s="165">
        <f>(('DADOS BÁSICOS LICITAÇÃO'!$G$54/'DADOS BÁSICOS LICITAÇÃO'!$C$54)/(P11+(ROUNDUP(((P109*P11)/(365*0.6986)),0))))-Q126</f>
        <v>-0.33</v>
      </c>
      <c r="R127" s="159"/>
      <c r="S127" s="165">
        <f>(('DADOS BÁSICOS LICITAÇÃO'!$G$54/'DADOS BÁSICOS LICITAÇÃO'!$C$54)/(R11+(ROUNDUP(((R109*R11)/(365*0.6986)),0))))-S126</f>
        <v>-0.69</v>
      </c>
      <c r="T127" s="164"/>
    </row>
    <row r="128" spans="1:20" ht="12.75" customHeight="1">
      <c r="A128" s="108" t="s">
        <v>225</v>
      </c>
      <c r="B128" s="297" t="s">
        <v>210</v>
      </c>
      <c r="C128" s="297"/>
      <c r="D128" s="297"/>
      <c r="E128" s="297"/>
      <c r="F128" s="297"/>
      <c r="G128" s="297"/>
      <c r="H128" s="161"/>
      <c r="I128" s="251">
        <f>(('DADOS BÁSICOS 2º ANO'!$G$54/'DADOS BÁSICOS 2º ANO'!$C$54)/(H$11+'TELEFONISTA 2º ANO'!$H$11+ROUNDUP((H11/12),0)+ROUNDUP(('TELEFONISTA 2º ANO'!H11/12),0)))-I126</f>
        <v>-0.03</v>
      </c>
      <c r="J128" s="161"/>
      <c r="K128" s="251">
        <f>(('DADOS BÁSICOS 2º ANO'!$G$54/'DADOS BÁSICOS 2º ANO'!$C$54)/(J$11+ROUNDUP((J11/12),0)))-K126</f>
        <v>-0.69</v>
      </c>
      <c r="L128" s="161"/>
      <c r="M128" s="251">
        <f>(('DADOS BÁSICOS 2º ANO'!$G$54/'DADOS BÁSICOS 2º ANO'!$C$54)/(L$11+ROUNDUP((L11/12),0)))-M126</f>
        <v>-0.13</v>
      </c>
      <c r="N128" s="161"/>
      <c r="O128" s="251">
        <f>(('DADOS BÁSICOS 2º ANO'!$G$54/'DADOS BÁSICOS 2º ANO'!$C$54)/(N$11+ROUNDUP((N11/12),0)))-O126</f>
        <v>-0.09</v>
      </c>
      <c r="P128" s="161"/>
      <c r="Q128" s="251">
        <f>(('DADOS BÁSICOS 2º ANO'!$G$54/'DADOS BÁSICOS 2º ANO'!$C$54)/(P$11+ROUNDUP((P11/12),0)))-Q126</f>
        <v>-0.33</v>
      </c>
      <c r="R128" s="161"/>
      <c r="S128" s="251">
        <f>(('DADOS BÁSICOS 2º ANO'!$G$54/'DADOS BÁSICOS 2º ANO'!$C$54)/(R$11+ROUNDUP((R11/12),0)))-S126</f>
        <v>-0.69</v>
      </c>
      <c r="T128" s="164"/>
    </row>
    <row r="129" spans="1:19">
      <c r="A129" s="287" t="s">
        <v>85</v>
      </c>
      <c r="B129" s="287"/>
      <c r="C129" s="287"/>
      <c r="D129" s="287"/>
      <c r="E129" s="287"/>
      <c r="F129" s="287"/>
      <c r="G129" s="287"/>
      <c r="H129" s="113"/>
      <c r="I129" s="167">
        <f>I120+I124+I125</f>
        <v>40.5</v>
      </c>
      <c r="J129" s="113"/>
      <c r="K129" s="167">
        <f>K120+K124+K125</f>
        <v>55.48</v>
      </c>
      <c r="L129" s="113"/>
      <c r="M129" s="167">
        <f>M120+M124+M125</f>
        <v>44.03</v>
      </c>
      <c r="N129" s="113"/>
      <c r="O129" s="167">
        <f>O120+O124+O125</f>
        <v>42.52</v>
      </c>
      <c r="P129" s="113"/>
      <c r="Q129" s="167">
        <f>Q120+Q124+Q125</f>
        <v>49.13</v>
      </c>
      <c r="R129" s="113"/>
      <c r="S129" s="167">
        <f>S120+S124+S125</f>
        <v>55.48</v>
      </c>
    </row>
    <row r="130" spans="1:19" ht="14.25" customHeight="1">
      <c r="A130" s="289" t="s">
        <v>148</v>
      </c>
      <c r="B130" s="289"/>
      <c r="C130" s="289"/>
      <c r="D130" s="289"/>
      <c r="E130" s="289"/>
      <c r="F130" s="289"/>
      <c r="G130" s="289"/>
      <c r="H130" s="132" t="s">
        <v>93</v>
      </c>
      <c r="I130" s="168">
        <f>I29</f>
        <v>1806.53</v>
      </c>
      <c r="J130" s="132" t="s">
        <v>93</v>
      </c>
      <c r="K130" s="168">
        <f>K29</f>
        <v>1806.53</v>
      </c>
      <c r="L130" s="132" t="s">
        <v>93</v>
      </c>
      <c r="M130" s="168">
        <f>M29</f>
        <v>1806.53</v>
      </c>
      <c r="N130" s="132" t="s">
        <v>93</v>
      </c>
      <c r="O130" s="168">
        <f>O29</f>
        <v>1806.53</v>
      </c>
      <c r="P130" s="132" t="s">
        <v>93</v>
      </c>
      <c r="Q130" s="168">
        <f>Q29</f>
        <v>1806.53</v>
      </c>
      <c r="R130" s="132" t="s">
        <v>93</v>
      </c>
      <c r="S130" s="168">
        <f>S29</f>
        <v>1806.53</v>
      </c>
    </row>
    <row r="131" spans="1:19">
      <c r="A131" s="289"/>
      <c r="B131" s="289"/>
      <c r="C131" s="289"/>
      <c r="D131" s="289"/>
      <c r="E131" s="289"/>
      <c r="F131" s="289"/>
      <c r="G131" s="289"/>
      <c r="H131" s="132" t="s">
        <v>94</v>
      </c>
      <c r="I131" s="168">
        <f>I80</f>
        <v>1807.58</v>
      </c>
      <c r="J131" s="132" t="s">
        <v>94</v>
      </c>
      <c r="K131" s="168">
        <f>K80</f>
        <v>1759.18</v>
      </c>
      <c r="L131" s="132" t="s">
        <v>94</v>
      </c>
      <c r="M131" s="168">
        <f>M80</f>
        <v>1796.58</v>
      </c>
      <c r="N131" s="132" t="s">
        <v>94</v>
      </c>
      <c r="O131" s="168">
        <f>O80</f>
        <v>1798.78</v>
      </c>
      <c r="P131" s="132" t="s">
        <v>94</v>
      </c>
      <c r="Q131" s="168">
        <f>Q80</f>
        <v>1772.38</v>
      </c>
      <c r="R131" s="132" t="s">
        <v>94</v>
      </c>
      <c r="S131" s="168">
        <f>S80</f>
        <v>1798.78</v>
      </c>
    </row>
    <row r="132" spans="1:19">
      <c r="A132" s="289"/>
      <c r="B132" s="289"/>
      <c r="C132" s="289"/>
      <c r="D132" s="289"/>
      <c r="E132" s="289"/>
      <c r="F132" s="289"/>
      <c r="G132" s="289"/>
      <c r="H132" s="132" t="s">
        <v>95</v>
      </c>
      <c r="I132" s="168">
        <f>I89</f>
        <v>59.66</v>
      </c>
      <c r="J132" s="132" t="s">
        <v>95</v>
      </c>
      <c r="K132" s="168">
        <f>K89</f>
        <v>59.66</v>
      </c>
      <c r="L132" s="132" t="s">
        <v>95</v>
      </c>
      <c r="M132" s="168">
        <f>M89</f>
        <v>59.66</v>
      </c>
      <c r="N132" s="132" t="s">
        <v>95</v>
      </c>
      <c r="O132" s="168">
        <f>O89</f>
        <v>59.66</v>
      </c>
      <c r="P132" s="132" t="s">
        <v>95</v>
      </c>
      <c r="Q132" s="168">
        <f>Q89</f>
        <v>59.66</v>
      </c>
      <c r="R132" s="132" t="s">
        <v>95</v>
      </c>
      <c r="S132" s="168">
        <f>S89</f>
        <v>59.66</v>
      </c>
    </row>
    <row r="133" spans="1:19">
      <c r="A133" s="289"/>
      <c r="B133" s="289"/>
      <c r="C133" s="289"/>
      <c r="D133" s="289"/>
      <c r="E133" s="289"/>
      <c r="F133" s="289"/>
      <c r="G133" s="289"/>
      <c r="H133" s="132" t="s">
        <v>96</v>
      </c>
      <c r="I133" s="168">
        <f>I117</f>
        <v>86.9</v>
      </c>
      <c r="J133" s="132" t="s">
        <v>96</v>
      </c>
      <c r="K133" s="168">
        <f>K117</f>
        <v>85.78</v>
      </c>
      <c r="L133" s="132" t="s">
        <v>96</v>
      </c>
      <c r="M133" s="168">
        <f>M117</f>
        <v>86.63</v>
      </c>
      <c r="N133" s="132" t="s">
        <v>96</v>
      </c>
      <c r="O133" s="168">
        <f>O117</f>
        <v>86.7</v>
      </c>
      <c r="P133" s="132" t="s">
        <v>96</v>
      </c>
      <c r="Q133" s="168">
        <f>Q117</f>
        <v>86.09</v>
      </c>
      <c r="R133" s="132" t="s">
        <v>96</v>
      </c>
      <c r="S133" s="168">
        <f>S117</f>
        <v>86.7</v>
      </c>
    </row>
    <row r="134" spans="1:19">
      <c r="A134" s="289"/>
      <c r="B134" s="289"/>
      <c r="C134" s="289"/>
      <c r="D134" s="289"/>
      <c r="E134" s="289"/>
      <c r="F134" s="289"/>
      <c r="G134" s="289"/>
      <c r="H134" s="132" t="s">
        <v>97</v>
      </c>
      <c r="I134" s="82">
        <f>I129</f>
        <v>40.5</v>
      </c>
      <c r="J134" s="132" t="s">
        <v>97</v>
      </c>
      <c r="K134" s="82">
        <f>K129</f>
        <v>55.48</v>
      </c>
      <c r="L134" s="132" t="s">
        <v>97</v>
      </c>
      <c r="M134" s="82">
        <f>M129</f>
        <v>44.03</v>
      </c>
      <c r="N134" s="132" t="s">
        <v>97</v>
      </c>
      <c r="O134" s="82">
        <f>O129</f>
        <v>42.52</v>
      </c>
      <c r="P134" s="132" t="s">
        <v>97</v>
      </c>
      <c r="Q134" s="82">
        <f>Q129</f>
        <v>49.13</v>
      </c>
      <c r="R134" s="132" t="s">
        <v>97</v>
      </c>
      <c r="S134" s="82">
        <f>S129</f>
        <v>55.48</v>
      </c>
    </row>
    <row r="135" spans="1:19">
      <c r="A135" s="289"/>
      <c r="B135" s="289"/>
      <c r="C135" s="289"/>
      <c r="D135" s="289"/>
      <c r="E135" s="289"/>
      <c r="F135" s="289"/>
      <c r="G135" s="289"/>
      <c r="H135" s="132" t="s">
        <v>85</v>
      </c>
      <c r="I135" s="82">
        <f>SUM(I130:I134)</f>
        <v>3801.17</v>
      </c>
      <c r="J135" s="132" t="s">
        <v>85</v>
      </c>
      <c r="K135" s="82">
        <f>SUM(K130:K134)</f>
        <v>3766.63</v>
      </c>
      <c r="L135" s="132" t="s">
        <v>85</v>
      </c>
      <c r="M135" s="82">
        <f>SUM(M130:M134)</f>
        <v>3793.43</v>
      </c>
      <c r="N135" s="132" t="s">
        <v>85</v>
      </c>
      <c r="O135" s="82">
        <f>SUM(O130:O134)</f>
        <v>3794.19</v>
      </c>
      <c r="P135" s="132" t="s">
        <v>85</v>
      </c>
      <c r="Q135" s="82">
        <f>SUM(Q130:Q134)</f>
        <v>3773.79</v>
      </c>
      <c r="R135" s="132" t="s">
        <v>85</v>
      </c>
      <c r="S135" s="82">
        <f>SUM(S130:S134)</f>
        <v>3807.15</v>
      </c>
    </row>
    <row r="136" spans="1:19" ht="24" customHeight="1">
      <c r="A136" s="88" t="s">
        <v>149</v>
      </c>
      <c r="B136" s="88"/>
      <c r="C136" s="88"/>
      <c r="D136" s="88"/>
      <c r="E136" s="88"/>
      <c r="F136" s="88"/>
      <c r="G136" s="88"/>
      <c r="H136" s="89"/>
      <c r="I136" s="90"/>
      <c r="J136" s="89"/>
      <c r="K136" s="90"/>
      <c r="L136" s="89"/>
      <c r="M136" s="90"/>
      <c r="N136" s="89"/>
      <c r="O136" s="90"/>
      <c r="P136" s="89"/>
      <c r="Q136" s="90"/>
      <c r="R136" s="89"/>
      <c r="S136" s="90"/>
    </row>
    <row r="137" spans="1:19">
      <c r="A137" s="66">
        <v>6</v>
      </c>
      <c r="B137" s="290" t="s">
        <v>150</v>
      </c>
      <c r="C137" s="290"/>
      <c r="D137" s="290"/>
      <c r="E137" s="290"/>
      <c r="F137" s="290"/>
      <c r="G137" s="290"/>
      <c r="H137" s="67" t="s">
        <v>78</v>
      </c>
      <c r="I137" s="68" t="s">
        <v>79</v>
      </c>
      <c r="J137" s="67" t="s">
        <v>78</v>
      </c>
      <c r="K137" s="68" t="s">
        <v>79</v>
      </c>
      <c r="L137" s="67" t="s">
        <v>78</v>
      </c>
      <c r="M137" s="68" t="s">
        <v>79</v>
      </c>
      <c r="N137" s="67" t="s">
        <v>78</v>
      </c>
      <c r="O137" s="68" t="s">
        <v>79</v>
      </c>
      <c r="P137" s="67" t="s">
        <v>78</v>
      </c>
      <c r="Q137" s="68" t="s">
        <v>79</v>
      </c>
      <c r="R137" s="67" t="s">
        <v>78</v>
      </c>
      <c r="S137" s="68" t="s">
        <v>79</v>
      </c>
    </row>
    <row r="138" spans="1:19">
      <c r="A138" s="69" t="s">
        <v>58</v>
      </c>
      <c r="B138" s="291" t="s">
        <v>151</v>
      </c>
      <c r="C138" s="292"/>
      <c r="D138" s="292"/>
      <c r="E138" s="292"/>
      <c r="F138" s="292"/>
      <c r="G138" s="293"/>
      <c r="H138" s="124">
        <f>'DADOS BÁSICOS 2º ANO'!$S8</f>
        <v>0.05</v>
      </c>
      <c r="I138" s="71">
        <f>(H138*I135)</f>
        <v>190.06</v>
      </c>
      <c r="J138" s="124">
        <f>'DADOS BÁSICOS 2º ANO'!$S9</f>
        <v>0.05</v>
      </c>
      <c r="K138" s="71">
        <f>(J138*K135)</f>
        <v>188.33</v>
      </c>
      <c r="L138" s="124">
        <f>'DADOS BÁSICOS 2º ANO'!$S10</f>
        <v>0.05</v>
      </c>
      <c r="M138" s="71">
        <f>(L138*M135)</f>
        <v>189.67</v>
      </c>
      <c r="N138" s="124">
        <f>'DADOS BÁSICOS 2º ANO'!$S11</f>
        <v>0.05</v>
      </c>
      <c r="O138" s="71">
        <f>(N138*O135)</f>
        <v>189.71</v>
      </c>
      <c r="P138" s="124">
        <f>'DADOS BÁSICOS 2º ANO'!$S12</f>
        <v>0.05</v>
      </c>
      <c r="Q138" s="71">
        <f>(P138*Q135)</f>
        <v>188.69</v>
      </c>
      <c r="R138" s="124">
        <f>'DADOS BÁSICOS 2º ANO'!$S13</f>
        <v>0.05</v>
      </c>
      <c r="S138" s="71">
        <f>(R138*S135)</f>
        <v>190.36</v>
      </c>
    </row>
    <row r="139" spans="1:19">
      <c r="A139" s="69" t="s">
        <v>60</v>
      </c>
      <c r="B139" s="291" t="s">
        <v>152</v>
      </c>
      <c r="C139" s="292"/>
      <c r="D139" s="292"/>
      <c r="E139" s="292"/>
      <c r="F139" s="292"/>
      <c r="G139" s="293"/>
      <c r="H139" s="124">
        <f>'DADOS BÁSICOS 2º ANO'!$T8</f>
        <v>0.05</v>
      </c>
      <c r="I139" s="71">
        <f>H139*(I135+I138)</f>
        <v>199.56</v>
      </c>
      <c r="J139" s="124">
        <f>'DADOS BÁSICOS 2º ANO'!$T9</f>
        <v>0.05</v>
      </c>
      <c r="K139" s="71">
        <f>J139*(K135+K138)</f>
        <v>197.75</v>
      </c>
      <c r="L139" s="124">
        <f>'DADOS BÁSICOS 2º ANO'!$T10</f>
        <v>0.05</v>
      </c>
      <c r="M139" s="71">
        <f>L139*(M135+M138)</f>
        <v>199.16</v>
      </c>
      <c r="N139" s="124">
        <f>'DADOS BÁSICOS 2º ANO'!$T11</f>
        <v>0.05</v>
      </c>
      <c r="O139" s="71">
        <f>N139*(O135+O138)</f>
        <v>199.2</v>
      </c>
      <c r="P139" s="124">
        <f>'DADOS BÁSICOS 2º ANO'!$T12</f>
        <v>0.05</v>
      </c>
      <c r="Q139" s="71">
        <f>P139*(Q135+Q138)</f>
        <v>198.12</v>
      </c>
      <c r="R139" s="124">
        <f>'DADOS BÁSICOS 2º ANO'!$T13</f>
        <v>0.05</v>
      </c>
      <c r="S139" s="71">
        <f>R139*(S135+S138)</f>
        <v>199.88</v>
      </c>
    </row>
    <row r="140" spans="1:19">
      <c r="A140" s="69" t="s">
        <v>62</v>
      </c>
      <c r="B140" s="294" t="s">
        <v>153</v>
      </c>
      <c r="C140" s="294"/>
      <c r="D140" s="294"/>
      <c r="E140" s="294"/>
      <c r="F140" s="294"/>
      <c r="G140" s="294"/>
      <c r="H140" s="169">
        <f>SUM(H141+H142+H143)</f>
        <v>8.6499999999999994E-2</v>
      </c>
      <c r="I140" s="170">
        <f>SUM(I141:I143)</f>
        <v>396.83</v>
      </c>
      <c r="J140" s="169">
        <f>SUM(J141+J142+J143)</f>
        <v>8.6499999999999994E-2</v>
      </c>
      <c r="K140" s="170">
        <f>SUM(K141:K143)</f>
        <v>393.23</v>
      </c>
      <c r="L140" s="169">
        <f>SUM(L141+L142+L143)</f>
        <v>7.6499999999999999E-2</v>
      </c>
      <c r="M140" s="170">
        <f>SUM(M141:M143)</f>
        <v>346.45</v>
      </c>
      <c r="N140" s="169">
        <f>SUM(N141+N142+N143)</f>
        <v>6.6500000000000004E-2</v>
      </c>
      <c r="O140" s="170">
        <f>SUM(O141:O143)</f>
        <v>297.99</v>
      </c>
      <c r="P140" s="169">
        <f>SUM(P141+P142+P143)</f>
        <v>7.6499999999999999E-2</v>
      </c>
      <c r="Q140" s="170">
        <f>SUM(Q141:Q143)</f>
        <v>344.65</v>
      </c>
      <c r="R140" s="169">
        <f>SUM(R141+R142+R143)</f>
        <v>8.6499999999999994E-2</v>
      </c>
      <c r="S140" s="170">
        <f>SUM(S141:S143)</f>
        <v>397.46</v>
      </c>
    </row>
    <row r="141" spans="1:19" ht="12.75" customHeight="1">
      <c r="A141" s="154"/>
      <c r="B141" s="286" t="s">
        <v>154</v>
      </c>
      <c r="C141" s="286"/>
      <c r="D141" s="286"/>
      <c r="E141" s="286"/>
      <c r="F141" s="286"/>
      <c r="G141" s="286"/>
      <c r="H141" s="127">
        <f>IF('DADOS BÁSICOS 2º ANO'!$B$25="LUCRO PRESUMIDO",'DADOS BÁSICOS 2º ANO'!$B$28,'DADOS BÁSICOS 2º ANO'!$C$28)</f>
        <v>0.03</v>
      </c>
      <c r="I141" s="71">
        <f>SUM(H141*I154)</f>
        <v>137.63</v>
      </c>
      <c r="J141" s="127">
        <f>IF('DADOS BÁSICOS 2º ANO'!$B$25="LUCRO PRESUMIDO",'DADOS BÁSICOS 2º ANO'!$B$28,'DADOS BÁSICOS 2º ANO'!$C$28)</f>
        <v>0.03</v>
      </c>
      <c r="K141" s="71">
        <f>SUM(J141*K154)</f>
        <v>136.38</v>
      </c>
      <c r="L141" s="127">
        <f>IF('DADOS BÁSICOS 2º ANO'!$B$25="LUCRO PRESUMIDO",'DADOS BÁSICOS 2º ANO'!$B$28,'DADOS BÁSICOS 2º ANO'!$C$28)</f>
        <v>0.03</v>
      </c>
      <c r="M141" s="71">
        <f>SUM(L141*M154)</f>
        <v>135.86000000000001</v>
      </c>
      <c r="N141" s="127">
        <f>IF('DADOS BÁSICOS 2º ANO'!$B$25="LUCRO PRESUMIDO",'DADOS BÁSICOS 2º ANO'!$B$28,'DADOS BÁSICOS 2º ANO'!$C$28)</f>
        <v>0.03</v>
      </c>
      <c r="O141" s="71">
        <f>SUM(N141*O154)</f>
        <v>134.43</v>
      </c>
      <c r="P141" s="127">
        <f>IF('DADOS BÁSICOS 2º ANO'!$B$25="LUCRO PRESUMIDO",'DADOS BÁSICOS 2º ANO'!$B$28,'DADOS BÁSICOS 2º ANO'!$C$28)</f>
        <v>0.03</v>
      </c>
      <c r="Q141" s="71">
        <f>SUM(P141*Q154)</f>
        <v>135.16</v>
      </c>
      <c r="R141" s="127">
        <f>IF('DADOS BÁSICOS 2º ANO'!$B$25="LUCRO PRESUMIDO",'DADOS BÁSICOS 2º ANO'!$B$28,'DADOS BÁSICOS 2º ANO'!$C$28)</f>
        <v>0.03</v>
      </c>
      <c r="S141" s="71">
        <f>SUM(R141*S154)</f>
        <v>137.85</v>
      </c>
    </row>
    <row r="142" spans="1:19" ht="12.75" customHeight="1">
      <c r="A142" s="154"/>
      <c r="B142" s="286" t="s">
        <v>155</v>
      </c>
      <c r="C142" s="286"/>
      <c r="D142" s="286"/>
      <c r="E142" s="286"/>
      <c r="F142" s="286"/>
      <c r="G142" s="286"/>
      <c r="H142" s="127">
        <f>IF('DADOS BÁSICOS 2º ANO'!$B$25="LUCRO PRESUMIDO",'DADOS BÁSICOS 2º ANO'!$B$27,'DADOS BÁSICOS 2º ANO'!$C$27)</f>
        <v>6.4999999999999997E-3</v>
      </c>
      <c r="I142" s="71">
        <f>SUM(H142*I154)</f>
        <v>29.82</v>
      </c>
      <c r="J142" s="127">
        <f>IF('DADOS BÁSICOS 2º ANO'!$B$25="LUCRO PRESUMIDO",'DADOS BÁSICOS 2º ANO'!$B$27,'DADOS BÁSICOS 2º ANO'!$C$27)</f>
        <v>6.4999999999999997E-3</v>
      </c>
      <c r="K142" s="71">
        <f>SUM(J142*K154)</f>
        <v>29.55</v>
      </c>
      <c r="L142" s="127">
        <f>IF('DADOS BÁSICOS 2º ANO'!$B$25="LUCRO PRESUMIDO",'DADOS BÁSICOS 2º ANO'!$B$27,'DADOS BÁSICOS 2º ANO'!$C$27)</f>
        <v>6.4999999999999997E-3</v>
      </c>
      <c r="M142" s="71">
        <f>SUM(L142*M154)</f>
        <v>29.44</v>
      </c>
      <c r="N142" s="127">
        <f>IF('DADOS BÁSICOS 2º ANO'!$B$25="LUCRO PRESUMIDO",'DADOS BÁSICOS 2º ANO'!$B$27,'DADOS BÁSICOS 2º ANO'!$C$27)</f>
        <v>6.4999999999999997E-3</v>
      </c>
      <c r="O142" s="71">
        <f>SUM(N142*O154)</f>
        <v>29.13</v>
      </c>
      <c r="P142" s="127">
        <f>IF('DADOS BÁSICOS 2º ANO'!$B$25="LUCRO PRESUMIDO",'DADOS BÁSICOS 2º ANO'!$B$27,'DADOS BÁSICOS 2º ANO'!$C$27)</f>
        <v>6.4999999999999997E-3</v>
      </c>
      <c r="Q142" s="71">
        <f>SUM(P142*Q154)</f>
        <v>29.28</v>
      </c>
      <c r="R142" s="127">
        <f>IF('DADOS BÁSICOS 2º ANO'!$B$25="LUCRO PRESUMIDO",'DADOS BÁSICOS 2º ANO'!$B$27,'DADOS BÁSICOS 2º ANO'!$C$27)</f>
        <v>6.4999999999999997E-3</v>
      </c>
      <c r="S142" s="71">
        <f>SUM(R142*S154)</f>
        <v>29.87</v>
      </c>
    </row>
    <row r="143" spans="1:19" ht="12.75" customHeight="1">
      <c r="A143" s="154"/>
      <c r="B143" s="286" t="s">
        <v>156</v>
      </c>
      <c r="C143" s="286"/>
      <c r="D143" s="286"/>
      <c r="E143" s="286"/>
      <c r="F143" s="286"/>
      <c r="G143" s="286"/>
      <c r="H143" s="127">
        <f>'DADOS BÁSICOS 2º ANO'!U8</f>
        <v>0.05</v>
      </c>
      <c r="I143" s="71">
        <f>SUM(H143*I154)</f>
        <v>229.38</v>
      </c>
      <c r="J143" s="127">
        <f>'DADOS BÁSICOS 2º ANO'!U9</f>
        <v>0.05</v>
      </c>
      <c r="K143" s="71">
        <f>SUM(J143*K154)</f>
        <v>227.3</v>
      </c>
      <c r="L143" s="127">
        <f>'DADOS BÁSICOS 2º ANO'!U10</f>
        <v>0.04</v>
      </c>
      <c r="M143" s="71">
        <f>SUM(L143*M154)</f>
        <v>181.15</v>
      </c>
      <c r="N143" s="127">
        <f>'DADOS BÁSICOS 2º ANO'!U11</f>
        <v>0.03</v>
      </c>
      <c r="O143" s="71">
        <f>SUM(N143*O154)</f>
        <v>134.43</v>
      </c>
      <c r="P143" s="127">
        <f>'DADOS BÁSICOS 2º ANO'!U12</f>
        <v>0.04</v>
      </c>
      <c r="Q143" s="71">
        <f>SUM(P143*Q154)</f>
        <v>180.21</v>
      </c>
      <c r="R143" s="127">
        <f>'DADOS BÁSICOS 2º ANO'!U13</f>
        <v>0.05</v>
      </c>
      <c r="S143" s="71">
        <f>SUM(R143*S154)</f>
        <v>229.74</v>
      </c>
    </row>
    <row r="144" spans="1:19">
      <c r="A144" s="287" t="s">
        <v>85</v>
      </c>
      <c r="B144" s="287"/>
      <c r="C144" s="287"/>
      <c r="D144" s="287"/>
      <c r="E144" s="287"/>
      <c r="F144" s="287"/>
      <c r="G144" s="287"/>
      <c r="H144" s="171"/>
      <c r="I144" s="80">
        <f>SUM(I138+I139+I141+I142+I143)</f>
        <v>786.45</v>
      </c>
      <c r="J144" s="171"/>
      <c r="K144" s="80">
        <f>SUM(K138+K139+K141+K142+K143)</f>
        <v>779.31</v>
      </c>
      <c r="L144" s="171"/>
      <c r="M144" s="80">
        <f>SUM(M138+M139+M141+M142+M143)</f>
        <v>735.28</v>
      </c>
      <c r="N144" s="171"/>
      <c r="O144" s="80">
        <f>SUM(O138+O139+O141+O142+O143)</f>
        <v>686.9</v>
      </c>
      <c r="P144" s="171"/>
      <c r="Q144" s="80">
        <f>SUM(Q138+Q139+Q141+Q142+Q143)</f>
        <v>731.46</v>
      </c>
      <c r="R144" s="171"/>
      <c r="S144" s="80">
        <f>SUM(S138+S139+S141+S142+S143)</f>
        <v>787.7</v>
      </c>
    </row>
    <row r="145" spans="1:19" ht="19.5" customHeight="1">
      <c r="A145" s="172" t="s">
        <v>157</v>
      </c>
      <c r="B145" s="173"/>
      <c r="C145" s="173"/>
      <c r="D145" s="173"/>
      <c r="E145" s="173"/>
      <c r="F145" s="173"/>
      <c r="G145" s="173"/>
      <c r="H145" s="174"/>
      <c r="I145" s="175"/>
      <c r="J145" s="174"/>
      <c r="K145" s="175"/>
      <c r="L145" s="174"/>
      <c r="M145" s="175"/>
      <c r="N145" s="174"/>
      <c r="O145" s="175"/>
      <c r="P145" s="174"/>
      <c r="Q145" s="175"/>
      <c r="R145" s="174"/>
      <c r="S145" s="175"/>
    </row>
    <row r="146" spans="1:19" ht="12.75" customHeight="1">
      <c r="A146" s="288" t="s">
        <v>158</v>
      </c>
      <c r="B146" s="288"/>
      <c r="C146" s="288"/>
      <c r="D146" s="288"/>
      <c r="E146" s="288"/>
      <c r="F146" s="288"/>
      <c r="G146" s="288"/>
      <c r="H146" s="148"/>
      <c r="I146" s="84" t="s">
        <v>79</v>
      </c>
      <c r="J146" s="148"/>
      <c r="K146" s="84" t="s">
        <v>79</v>
      </c>
      <c r="L146" s="148"/>
      <c r="M146" s="84" t="s">
        <v>79</v>
      </c>
      <c r="N146" s="148"/>
      <c r="O146" s="84" t="s">
        <v>79</v>
      </c>
      <c r="P146" s="148"/>
      <c r="Q146" s="84" t="s">
        <v>79</v>
      </c>
      <c r="R146" s="148"/>
      <c r="S146" s="84" t="s">
        <v>79</v>
      </c>
    </row>
    <row r="147" spans="1:19" ht="12.75" customHeight="1">
      <c r="A147" s="176" t="s">
        <v>58</v>
      </c>
      <c r="B147" s="284" t="s">
        <v>159</v>
      </c>
      <c r="C147" s="284"/>
      <c r="D147" s="284"/>
      <c r="E147" s="284"/>
      <c r="F147" s="284"/>
      <c r="G147" s="284"/>
      <c r="H147" s="48"/>
      <c r="I147" s="177">
        <f>I29</f>
        <v>1806.53</v>
      </c>
      <c r="J147" s="48"/>
      <c r="K147" s="177">
        <f>K29</f>
        <v>1806.53</v>
      </c>
      <c r="L147" s="48"/>
      <c r="M147" s="177">
        <f>M29</f>
        <v>1806.53</v>
      </c>
      <c r="N147" s="48"/>
      <c r="O147" s="177">
        <f>O29</f>
        <v>1806.53</v>
      </c>
      <c r="P147" s="48"/>
      <c r="Q147" s="177">
        <f>Q29</f>
        <v>1806.53</v>
      </c>
      <c r="R147" s="48"/>
      <c r="S147" s="177">
        <f>S29</f>
        <v>1806.53</v>
      </c>
    </row>
    <row r="148" spans="1:19" ht="12.75" customHeight="1">
      <c r="A148" s="176" t="s">
        <v>60</v>
      </c>
      <c r="B148" s="284" t="s">
        <v>121</v>
      </c>
      <c r="C148" s="284"/>
      <c r="D148" s="284"/>
      <c r="E148" s="284"/>
      <c r="F148" s="284"/>
      <c r="G148" s="284"/>
      <c r="H148" s="178"/>
      <c r="I148" s="177">
        <f>I80</f>
        <v>1807.58</v>
      </c>
      <c r="J148" s="178"/>
      <c r="K148" s="177">
        <f>K80</f>
        <v>1759.18</v>
      </c>
      <c r="L148" s="178"/>
      <c r="M148" s="177">
        <f>M80</f>
        <v>1796.58</v>
      </c>
      <c r="N148" s="178"/>
      <c r="O148" s="177">
        <f>O80</f>
        <v>1798.78</v>
      </c>
      <c r="P148" s="178"/>
      <c r="Q148" s="177">
        <f>Q80</f>
        <v>1772.38</v>
      </c>
      <c r="R148" s="178"/>
      <c r="S148" s="177">
        <f>S80</f>
        <v>1798.78</v>
      </c>
    </row>
    <row r="149" spans="1:19" ht="12.75" customHeight="1">
      <c r="A149" s="176" t="s">
        <v>62</v>
      </c>
      <c r="B149" s="284" t="s">
        <v>160</v>
      </c>
      <c r="C149" s="284"/>
      <c r="D149" s="284"/>
      <c r="E149" s="284"/>
      <c r="F149" s="284"/>
      <c r="G149" s="284"/>
      <c r="H149" s="178"/>
      <c r="I149" s="177">
        <f>I89</f>
        <v>59.66</v>
      </c>
      <c r="J149" s="178"/>
      <c r="K149" s="177">
        <f>K89</f>
        <v>59.66</v>
      </c>
      <c r="L149" s="178"/>
      <c r="M149" s="177">
        <f>M89</f>
        <v>59.66</v>
      </c>
      <c r="N149" s="178"/>
      <c r="O149" s="177">
        <f>O89</f>
        <v>59.66</v>
      </c>
      <c r="P149" s="178"/>
      <c r="Q149" s="177">
        <f>Q89</f>
        <v>59.66</v>
      </c>
      <c r="R149" s="178"/>
      <c r="S149" s="177">
        <f>S89</f>
        <v>59.66</v>
      </c>
    </row>
    <row r="150" spans="1:19" ht="12.75" customHeight="1">
      <c r="A150" s="176" t="s">
        <v>64</v>
      </c>
      <c r="B150" s="284" t="s">
        <v>144</v>
      </c>
      <c r="C150" s="284"/>
      <c r="D150" s="284"/>
      <c r="E150" s="284"/>
      <c r="F150" s="284"/>
      <c r="G150" s="284"/>
      <c r="H150" s="178"/>
      <c r="I150" s="177">
        <f>I117</f>
        <v>86.9</v>
      </c>
      <c r="J150" s="178"/>
      <c r="K150" s="177">
        <f>K117</f>
        <v>85.78</v>
      </c>
      <c r="L150" s="178"/>
      <c r="M150" s="177">
        <f>M117</f>
        <v>86.63</v>
      </c>
      <c r="N150" s="178"/>
      <c r="O150" s="177">
        <f>O117</f>
        <v>86.7</v>
      </c>
      <c r="P150" s="178"/>
      <c r="Q150" s="177">
        <f>Q117</f>
        <v>86.09</v>
      </c>
      <c r="R150" s="178"/>
      <c r="S150" s="177">
        <f>S117</f>
        <v>86.7</v>
      </c>
    </row>
    <row r="151" spans="1:19" ht="12.75" customHeight="1">
      <c r="A151" s="176" t="s">
        <v>66</v>
      </c>
      <c r="B151" s="284" t="s">
        <v>161</v>
      </c>
      <c r="C151" s="284"/>
      <c r="D151" s="284"/>
      <c r="E151" s="284"/>
      <c r="F151" s="284"/>
      <c r="G151" s="284"/>
      <c r="H151" s="178"/>
      <c r="I151" s="177">
        <f>I129</f>
        <v>40.5</v>
      </c>
      <c r="J151" s="178"/>
      <c r="K151" s="177">
        <f>K129</f>
        <v>55.48</v>
      </c>
      <c r="L151" s="178"/>
      <c r="M151" s="177">
        <f>M129</f>
        <v>44.03</v>
      </c>
      <c r="N151" s="178"/>
      <c r="O151" s="177">
        <f>O129</f>
        <v>42.52</v>
      </c>
      <c r="P151" s="178"/>
      <c r="Q151" s="177">
        <f>Q129</f>
        <v>49.13</v>
      </c>
      <c r="R151" s="178"/>
      <c r="S151" s="177">
        <f>S129</f>
        <v>55.48</v>
      </c>
    </row>
    <row r="152" spans="1:19" ht="16.5" customHeight="1">
      <c r="A152" s="285" t="s">
        <v>162</v>
      </c>
      <c r="B152" s="285"/>
      <c r="C152" s="285"/>
      <c r="D152" s="285"/>
      <c r="E152" s="285"/>
      <c r="F152" s="285"/>
      <c r="G152" s="285"/>
      <c r="H152" s="179"/>
      <c r="I152" s="180">
        <f>SUM(I147:I151)</f>
        <v>3801.17</v>
      </c>
      <c r="J152" s="179"/>
      <c r="K152" s="180">
        <f>SUM(K147:K151)</f>
        <v>3766.63</v>
      </c>
      <c r="L152" s="179"/>
      <c r="M152" s="180">
        <f>SUM(M147:M151)</f>
        <v>3793.43</v>
      </c>
      <c r="N152" s="179"/>
      <c r="O152" s="180">
        <f>SUM(O147:O151)</f>
        <v>3794.19</v>
      </c>
      <c r="P152" s="179"/>
      <c r="Q152" s="180">
        <f>SUM(Q147:Q151)</f>
        <v>3773.79</v>
      </c>
      <c r="R152" s="179"/>
      <c r="S152" s="180">
        <f>SUM(S147:S151)</f>
        <v>3807.15</v>
      </c>
    </row>
    <row r="153" spans="1:19" ht="12.75" customHeight="1">
      <c r="A153" s="181" t="s">
        <v>84</v>
      </c>
      <c r="B153" s="286" t="s">
        <v>163</v>
      </c>
      <c r="C153" s="286"/>
      <c r="D153" s="286"/>
      <c r="E153" s="286"/>
      <c r="F153" s="286"/>
      <c r="G153" s="286"/>
      <c r="H153" s="48"/>
      <c r="I153" s="182">
        <f>I144</f>
        <v>786.45</v>
      </c>
      <c r="J153" s="48"/>
      <c r="K153" s="182">
        <f>K144</f>
        <v>779.31</v>
      </c>
      <c r="L153" s="48"/>
      <c r="M153" s="182">
        <f>M144</f>
        <v>735.28</v>
      </c>
      <c r="N153" s="48"/>
      <c r="O153" s="182">
        <f>O144</f>
        <v>686.9</v>
      </c>
      <c r="P153" s="48"/>
      <c r="Q153" s="182">
        <f>Q144</f>
        <v>731.46</v>
      </c>
      <c r="R153" s="48"/>
      <c r="S153" s="182">
        <f>S144</f>
        <v>787.7</v>
      </c>
    </row>
    <row r="154" spans="1:19" ht="16.5" customHeight="1" thickBot="1">
      <c r="A154" s="285" t="s">
        <v>164</v>
      </c>
      <c r="B154" s="285"/>
      <c r="C154" s="285"/>
      <c r="D154" s="285"/>
      <c r="E154" s="285"/>
      <c r="F154" s="285"/>
      <c r="G154" s="285"/>
      <c r="H154" s="183"/>
      <c r="I154" s="184">
        <f>SUM(I152+I138+I139)/(1-H140)</f>
        <v>4587.62</v>
      </c>
      <c r="J154" s="183"/>
      <c r="K154" s="184">
        <f>SUM(K152+K138+K139)/(1-J140)</f>
        <v>4545.93</v>
      </c>
      <c r="L154" s="183"/>
      <c r="M154" s="184">
        <f>SUM(M152+M138+M139)/(1-L140)</f>
        <v>4528.71</v>
      </c>
      <c r="N154" s="183"/>
      <c r="O154" s="184">
        <f>SUM(O152+O138+O139)/(1-N140)</f>
        <v>4481.09</v>
      </c>
      <c r="P154" s="183"/>
      <c r="Q154" s="184">
        <f>SUM(Q152+Q138+Q139)/(1-P140)</f>
        <v>4505.25</v>
      </c>
      <c r="R154" s="183"/>
      <c r="S154" s="184">
        <f>SUM(S152+S138+S139)/(1-R140)</f>
        <v>4594.84</v>
      </c>
    </row>
    <row r="155" spans="1:19" ht="19.5" customHeight="1">
      <c r="A155" s="172" t="s">
        <v>165</v>
      </c>
      <c r="B155" s="185"/>
      <c r="C155" s="185"/>
      <c r="D155" s="185"/>
      <c r="E155" s="185"/>
      <c r="F155" s="185"/>
      <c r="G155" s="185"/>
      <c r="H155" s="186" t="s">
        <v>166</v>
      </c>
      <c r="I155" s="185" t="s">
        <v>79</v>
      </c>
      <c r="J155" s="186" t="s">
        <v>166</v>
      </c>
      <c r="K155" s="185" t="s">
        <v>79</v>
      </c>
      <c r="L155" s="186" t="s">
        <v>166</v>
      </c>
      <c r="M155" s="185" t="s">
        <v>79</v>
      </c>
      <c r="N155" s="186" t="s">
        <v>166</v>
      </c>
      <c r="O155" s="185" t="s">
        <v>79</v>
      </c>
      <c r="P155" s="186" t="s">
        <v>166</v>
      </c>
      <c r="Q155" s="185" t="s">
        <v>79</v>
      </c>
      <c r="R155" s="186" t="s">
        <v>166</v>
      </c>
      <c r="S155" s="185" t="s">
        <v>79</v>
      </c>
    </row>
    <row r="156" spans="1:19">
      <c r="A156" s="43" t="s">
        <v>198</v>
      </c>
      <c r="B156" s="283" t="s">
        <v>25</v>
      </c>
      <c r="C156" s="283"/>
      <c r="D156" s="283"/>
      <c r="E156" s="283"/>
      <c r="F156" s="283"/>
      <c r="G156" s="283"/>
      <c r="H156" s="187">
        <f>H11</f>
        <v>46</v>
      </c>
      <c r="I156" s="188">
        <f>H156*I154</f>
        <v>211030.52</v>
      </c>
      <c r="J156" s="187">
        <f>J11</f>
        <v>4</v>
      </c>
      <c r="K156" s="188">
        <f>J156*K154</f>
        <v>18183.72</v>
      </c>
      <c r="L156" s="187">
        <f>L11</f>
        <v>14</v>
      </c>
      <c r="M156" s="188">
        <f>L156*M154</f>
        <v>63401.94</v>
      </c>
      <c r="N156" s="187">
        <f>N11</f>
        <v>12</v>
      </c>
      <c r="O156" s="188">
        <f>N156*O154</f>
        <v>53773.08</v>
      </c>
      <c r="P156" s="187">
        <f>P11</f>
        <v>6</v>
      </c>
      <c r="Q156" s="188">
        <f>P156*Q154</f>
        <v>27031.5</v>
      </c>
      <c r="R156" s="187">
        <f>R11</f>
        <v>4</v>
      </c>
      <c r="S156" s="188">
        <f>R156*S154</f>
        <v>18379.36</v>
      </c>
    </row>
    <row r="157" spans="1:19">
      <c r="I157" s="35"/>
    </row>
    <row r="158" spans="1:19">
      <c r="I158" s="164"/>
    </row>
    <row r="159" spans="1:19">
      <c r="I159" s="164"/>
    </row>
    <row r="160" spans="1:19">
      <c r="I160" s="35"/>
    </row>
    <row r="161" spans="9:9">
      <c r="I161" s="35"/>
    </row>
    <row r="162" spans="9:9">
      <c r="I162" s="35"/>
    </row>
    <row r="163" spans="9:9">
      <c r="I163" s="35"/>
    </row>
    <row r="164" spans="9:9">
      <c r="I164" s="35"/>
    </row>
    <row r="165" spans="9:9">
      <c r="I165" s="35"/>
    </row>
    <row r="166" spans="9:9">
      <c r="I166" s="35"/>
    </row>
    <row r="167" spans="9:9">
      <c r="I167" s="35"/>
    </row>
    <row r="168" spans="9:9">
      <c r="I168" s="35"/>
    </row>
    <row r="169" spans="9:9">
      <c r="I169" s="35"/>
    </row>
    <row r="170" spans="9:9">
      <c r="I170" s="35"/>
    </row>
    <row r="171" spans="9:9">
      <c r="I171" s="35"/>
    </row>
    <row r="172" spans="9:9">
      <c r="I172" s="35"/>
    </row>
    <row r="173" spans="9:9">
      <c r="I173" s="35"/>
    </row>
    <row r="174" spans="9:9">
      <c r="I174" s="35"/>
    </row>
    <row r="175" spans="9:9">
      <c r="I175" s="35"/>
    </row>
    <row r="176" spans="9:9">
      <c r="I176" s="35"/>
    </row>
    <row r="177" spans="9:9">
      <c r="I177" s="35"/>
    </row>
    <row r="178" spans="9:9">
      <c r="I178" s="35"/>
    </row>
    <row r="179" spans="9:9">
      <c r="I179" s="35"/>
    </row>
    <row r="180" spans="9:9">
      <c r="I180" s="35"/>
    </row>
    <row r="181" spans="9:9">
      <c r="I181" s="35"/>
    </row>
    <row r="182" spans="9:9">
      <c r="I182" s="35"/>
    </row>
    <row r="183" spans="9:9">
      <c r="I183" s="35"/>
    </row>
    <row r="184" spans="9:9">
      <c r="I184" s="35"/>
    </row>
    <row r="185" spans="9:9">
      <c r="I185" s="35"/>
    </row>
    <row r="186" spans="9:9">
      <c r="I186" s="35"/>
    </row>
    <row r="187" spans="9:9">
      <c r="I187" s="35"/>
    </row>
    <row r="188" spans="9:9">
      <c r="I188" s="35"/>
    </row>
    <row r="189" spans="9:9">
      <c r="I189" s="35"/>
    </row>
    <row r="190" spans="9:9">
      <c r="I190" s="35"/>
    </row>
    <row r="191" spans="9:9">
      <c r="I191" s="35"/>
    </row>
    <row r="192" spans="9:9">
      <c r="I192" s="35"/>
    </row>
    <row r="193" spans="9:9">
      <c r="I193" s="35"/>
    </row>
    <row r="194" spans="9:9">
      <c r="I194" s="35"/>
    </row>
    <row r="195" spans="9:9">
      <c r="I195" s="35"/>
    </row>
    <row r="196" spans="9:9">
      <c r="I196" s="35"/>
    </row>
    <row r="197" spans="9:9">
      <c r="I197" s="35"/>
    </row>
    <row r="198" spans="9:9">
      <c r="I198" s="35"/>
    </row>
    <row r="199" spans="9:9">
      <c r="I199" s="35"/>
    </row>
    <row r="200" spans="9:9">
      <c r="I200" s="35"/>
    </row>
    <row r="201" spans="9:9">
      <c r="I201" s="35"/>
    </row>
    <row r="202" spans="9:9">
      <c r="I202" s="35"/>
    </row>
    <row r="203" spans="9:9">
      <c r="I203" s="35"/>
    </row>
    <row r="204" spans="9:9">
      <c r="I204" s="35"/>
    </row>
    <row r="205" spans="9:9">
      <c r="I205" s="35"/>
    </row>
    <row r="206" spans="9:9">
      <c r="I206" s="35"/>
    </row>
    <row r="207" spans="9:9">
      <c r="I207" s="35"/>
    </row>
    <row r="208" spans="9:9">
      <c r="I208" s="35"/>
    </row>
    <row r="209" spans="9:9">
      <c r="I209" s="35"/>
    </row>
    <row r="210" spans="9:9">
      <c r="I210" s="35"/>
    </row>
    <row r="211" spans="9:9">
      <c r="I211" s="35"/>
    </row>
    <row r="212" spans="9:9">
      <c r="I212" s="35"/>
    </row>
    <row r="213" spans="9:9">
      <c r="I213" s="35"/>
    </row>
    <row r="214" spans="9:9">
      <c r="I214" s="35"/>
    </row>
    <row r="215" spans="9:9">
      <c r="I215" s="35"/>
    </row>
    <row r="216" spans="9:9">
      <c r="I216" s="35"/>
    </row>
    <row r="217" spans="9:9">
      <c r="I217" s="35"/>
    </row>
    <row r="218" spans="9:9">
      <c r="I218" s="35"/>
    </row>
    <row r="219" spans="9:9">
      <c r="I219" s="35"/>
    </row>
    <row r="220" spans="9:9">
      <c r="I220" s="35"/>
    </row>
    <row r="221" spans="9:9">
      <c r="I221" s="35"/>
    </row>
    <row r="222" spans="9:9">
      <c r="I222" s="35"/>
    </row>
    <row r="223" spans="9:9">
      <c r="I223" s="35"/>
    </row>
    <row r="224" spans="9:9">
      <c r="I224" s="35"/>
    </row>
    <row r="225" spans="9:9">
      <c r="I225" s="35"/>
    </row>
    <row r="226" spans="9:9">
      <c r="I226" s="35"/>
    </row>
    <row r="227" spans="9:9">
      <c r="I227" s="35"/>
    </row>
    <row r="228" spans="9:9">
      <c r="I228" s="35"/>
    </row>
    <row r="229" spans="9:9">
      <c r="I229" s="35"/>
    </row>
    <row r="230" spans="9:9">
      <c r="I230" s="35"/>
    </row>
    <row r="231" spans="9:9">
      <c r="I231" s="35"/>
    </row>
    <row r="232" spans="9:9">
      <c r="I232" s="35"/>
    </row>
    <row r="233" spans="9:9">
      <c r="I233" s="35"/>
    </row>
    <row r="234" spans="9:9">
      <c r="I234" s="35"/>
    </row>
    <row r="235" spans="9:9">
      <c r="I235" s="35"/>
    </row>
    <row r="236" spans="9:9">
      <c r="I236" s="35"/>
    </row>
    <row r="237" spans="9:9">
      <c r="I237" s="35"/>
    </row>
    <row r="238" spans="9:9">
      <c r="I238" s="35"/>
    </row>
    <row r="239" spans="9:9">
      <c r="I239" s="35"/>
    </row>
    <row r="240" spans="9:9">
      <c r="I240" s="35"/>
    </row>
    <row r="241" spans="9:9">
      <c r="I241" s="35"/>
    </row>
    <row r="242" spans="9:9">
      <c r="I242" s="35"/>
    </row>
    <row r="243" spans="9:9">
      <c r="I243" s="35"/>
    </row>
    <row r="244" spans="9:9">
      <c r="I244" s="35"/>
    </row>
    <row r="245" spans="9:9">
      <c r="I245" s="35"/>
    </row>
    <row r="246" spans="9:9">
      <c r="I246" s="35"/>
    </row>
    <row r="247" spans="9:9">
      <c r="I247" s="35"/>
    </row>
    <row r="248" spans="9:9">
      <c r="I248" s="35"/>
    </row>
    <row r="249" spans="9:9">
      <c r="I249" s="35"/>
    </row>
    <row r="250" spans="9:9">
      <c r="I250" s="35"/>
    </row>
    <row r="251" spans="9:9">
      <c r="I251" s="35"/>
    </row>
    <row r="252" spans="9:9">
      <c r="I252" s="35"/>
    </row>
    <row r="253" spans="9:9">
      <c r="I253" s="35"/>
    </row>
    <row r="254" spans="9:9">
      <c r="I254" s="35"/>
    </row>
    <row r="255" spans="9:9">
      <c r="I255" s="35"/>
    </row>
    <row r="256" spans="9:9">
      <c r="I256" s="35"/>
    </row>
    <row r="257" spans="9:9">
      <c r="I257" s="35"/>
    </row>
    <row r="258" spans="9:9">
      <c r="I258" s="35"/>
    </row>
    <row r="259" spans="9:9">
      <c r="I259" s="35"/>
    </row>
    <row r="260" spans="9:9">
      <c r="I260" s="35"/>
    </row>
    <row r="261" spans="9:9">
      <c r="I261" s="35"/>
    </row>
    <row r="262" spans="9:9">
      <c r="I262" s="35"/>
    </row>
    <row r="263" spans="9:9">
      <c r="I263" s="35"/>
    </row>
    <row r="264" spans="9:9">
      <c r="I264" s="35"/>
    </row>
    <row r="265" spans="9:9">
      <c r="I265" s="35"/>
    </row>
    <row r="266" spans="9:9">
      <c r="I266" s="35"/>
    </row>
    <row r="267" spans="9:9">
      <c r="I267" s="35"/>
    </row>
    <row r="268" spans="9:9">
      <c r="I268" s="35"/>
    </row>
    <row r="269" spans="9:9">
      <c r="I269" s="35"/>
    </row>
    <row r="270" spans="9:9">
      <c r="I270" s="35"/>
    </row>
    <row r="271" spans="9:9">
      <c r="I271" s="35"/>
    </row>
    <row r="272" spans="9:9">
      <c r="I272" s="35"/>
    </row>
    <row r="273" spans="9:9">
      <c r="I273" s="35"/>
    </row>
  </sheetData>
  <sheetProtection algorithmName="SHA-512" hashValue="XO808OBRl+IFIv7VxjLaDVzzrGfsU3FRB5ZKgpvabCQIf3EC9IEb2YIOv/VLlT9b7Y6oSCq+tfGLoRczKX1iSw==" saltValue="5Mm5kIkB6E+VlWkv+UBDnQ==" spinCount="100000" sheet="1" objects="1" scenarios="1"/>
  <mergeCells count="231">
    <mergeCell ref="B156:G156"/>
    <mergeCell ref="B149:G149"/>
    <mergeCell ref="B150:G150"/>
    <mergeCell ref="B151:G151"/>
    <mergeCell ref="A152:G152"/>
    <mergeCell ref="B153:G153"/>
    <mergeCell ref="A154:G154"/>
    <mergeCell ref="B142:G142"/>
    <mergeCell ref="B143:G143"/>
    <mergeCell ref="A144:G144"/>
    <mergeCell ref="A146:G146"/>
    <mergeCell ref="B147:G147"/>
    <mergeCell ref="B148:G148"/>
    <mergeCell ref="A130:G135"/>
    <mergeCell ref="B137:G137"/>
    <mergeCell ref="B138:G138"/>
    <mergeCell ref="B139:G139"/>
    <mergeCell ref="B140:G140"/>
    <mergeCell ref="B141:G141"/>
    <mergeCell ref="B124:G124"/>
    <mergeCell ref="B125:G125"/>
    <mergeCell ref="B126:G126"/>
    <mergeCell ref="B127:G127"/>
    <mergeCell ref="B128:G128"/>
    <mergeCell ref="A129:G129"/>
    <mergeCell ref="A117:G117"/>
    <mergeCell ref="B119:G119"/>
    <mergeCell ref="B120:G120"/>
    <mergeCell ref="B121:G121"/>
    <mergeCell ref="B122:G122"/>
    <mergeCell ref="B123:G123"/>
    <mergeCell ref="B110:G110"/>
    <mergeCell ref="B111:G111"/>
    <mergeCell ref="A112:G112"/>
    <mergeCell ref="B114:G114"/>
    <mergeCell ref="B115:G115"/>
    <mergeCell ref="B116:G116"/>
    <mergeCell ref="B104:G104"/>
    <mergeCell ref="B105:G105"/>
    <mergeCell ref="B106:G106"/>
    <mergeCell ref="B107:G107"/>
    <mergeCell ref="B108:G108"/>
    <mergeCell ref="A109:G109"/>
    <mergeCell ref="B98:G98"/>
    <mergeCell ref="B99:G99"/>
    <mergeCell ref="B100:G100"/>
    <mergeCell ref="B101:G101"/>
    <mergeCell ref="B102:G102"/>
    <mergeCell ref="B103:G103"/>
    <mergeCell ref="B87:G87"/>
    <mergeCell ref="B88:G88"/>
    <mergeCell ref="A89:G89"/>
    <mergeCell ref="A90:G93"/>
    <mergeCell ref="B96:G96"/>
    <mergeCell ref="B97:G97"/>
    <mergeCell ref="A80:G80"/>
    <mergeCell ref="B82:G82"/>
    <mergeCell ref="B83:G83"/>
    <mergeCell ref="B84:G84"/>
    <mergeCell ref="B85:G85"/>
    <mergeCell ref="B86:G86"/>
    <mergeCell ref="B73:G73"/>
    <mergeCell ref="A74:G74"/>
    <mergeCell ref="B76:G76"/>
    <mergeCell ref="B77:G77"/>
    <mergeCell ref="B78:G78"/>
    <mergeCell ref="B79:G79"/>
    <mergeCell ref="B66:G66"/>
    <mergeCell ref="B67:G67"/>
    <mergeCell ref="B68:G68"/>
    <mergeCell ref="B70:G70"/>
    <mergeCell ref="B71:G71"/>
    <mergeCell ref="B72:G72"/>
    <mergeCell ref="B69:G69"/>
    <mergeCell ref="Q61:Q64"/>
    <mergeCell ref="S61:S64"/>
    <mergeCell ref="B62:G62"/>
    <mergeCell ref="B63:G63"/>
    <mergeCell ref="B64:G64"/>
    <mergeCell ref="B65:G65"/>
    <mergeCell ref="Q57:Q60"/>
    <mergeCell ref="S57:S60"/>
    <mergeCell ref="B58:G58"/>
    <mergeCell ref="B59:G59"/>
    <mergeCell ref="B60:G60"/>
    <mergeCell ref="B61:G61"/>
    <mergeCell ref="I61:I64"/>
    <mergeCell ref="K61:K64"/>
    <mergeCell ref="M61:M64"/>
    <mergeCell ref="O61:O64"/>
    <mergeCell ref="B56:G56"/>
    <mergeCell ref="B57:G57"/>
    <mergeCell ref="I57:I60"/>
    <mergeCell ref="K57:K60"/>
    <mergeCell ref="M57:M60"/>
    <mergeCell ref="O57:O60"/>
    <mergeCell ref="B49:G49"/>
    <mergeCell ref="B50:G50"/>
    <mergeCell ref="B51:G51"/>
    <mergeCell ref="B52:G52"/>
    <mergeCell ref="B53:G53"/>
    <mergeCell ref="A54:G54"/>
    <mergeCell ref="A40:G40"/>
    <mergeCell ref="A41:G43"/>
    <mergeCell ref="B45:G45"/>
    <mergeCell ref="B46:G46"/>
    <mergeCell ref="B47:G47"/>
    <mergeCell ref="B48:G48"/>
    <mergeCell ref="B33:G33"/>
    <mergeCell ref="C34:G34"/>
    <mergeCell ref="C35:G35"/>
    <mergeCell ref="C37:G37"/>
    <mergeCell ref="C38:G38"/>
    <mergeCell ref="C39:G39"/>
    <mergeCell ref="C36:G36"/>
    <mergeCell ref="B27:G27"/>
    <mergeCell ref="B28:D28"/>
    <mergeCell ref="E28:G28"/>
    <mergeCell ref="A29:G29"/>
    <mergeCell ref="B31:G31"/>
    <mergeCell ref="B32:G32"/>
    <mergeCell ref="R20:S20"/>
    <mergeCell ref="B22:G22"/>
    <mergeCell ref="B23:G23"/>
    <mergeCell ref="B24:G24"/>
    <mergeCell ref="B25:G25"/>
    <mergeCell ref="B26:G26"/>
    <mergeCell ref="B20:G20"/>
    <mergeCell ref="H20:I20"/>
    <mergeCell ref="J20:K20"/>
    <mergeCell ref="L20:M20"/>
    <mergeCell ref="N20:O20"/>
    <mergeCell ref="P20:Q20"/>
    <mergeCell ref="R18:S18"/>
    <mergeCell ref="B19:G19"/>
    <mergeCell ref="H19:I19"/>
    <mergeCell ref="J19:K19"/>
    <mergeCell ref="L19:M19"/>
    <mergeCell ref="N19:O19"/>
    <mergeCell ref="P19:Q19"/>
    <mergeCell ref="R19:S19"/>
    <mergeCell ref="B18:G18"/>
    <mergeCell ref="H18:I18"/>
    <mergeCell ref="J18:K18"/>
    <mergeCell ref="L18:M18"/>
    <mergeCell ref="N18:O18"/>
    <mergeCell ref="P18:Q18"/>
    <mergeCell ref="R16:S16"/>
    <mergeCell ref="B17:G17"/>
    <mergeCell ref="H17:I17"/>
    <mergeCell ref="J17:K17"/>
    <mergeCell ref="L17:M17"/>
    <mergeCell ref="N17:O17"/>
    <mergeCell ref="P17:Q17"/>
    <mergeCell ref="R17:S17"/>
    <mergeCell ref="B16:G16"/>
    <mergeCell ref="H16:I16"/>
    <mergeCell ref="J16:K16"/>
    <mergeCell ref="L16:M16"/>
    <mergeCell ref="N16:O16"/>
    <mergeCell ref="P16:Q16"/>
    <mergeCell ref="R14:S14"/>
    <mergeCell ref="B15:G15"/>
    <mergeCell ref="H15:I15"/>
    <mergeCell ref="J15:K15"/>
    <mergeCell ref="L15:M15"/>
    <mergeCell ref="N15:O15"/>
    <mergeCell ref="P15:Q15"/>
    <mergeCell ref="R15:S15"/>
    <mergeCell ref="B14:G14"/>
    <mergeCell ref="H14:I14"/>
    <mergeCell ref="J14:K14"/>
    <mergeCell ref="L14:M14"/>
    <mergeCell ref="N14:O14"/>
    <mergeCell ref="P14:Q14"/>
    <mergeCell ref="R11:S11"/>
    <mergeCell ref="B13:G13"/>
    <mergeCell ref="H13:I13"/>
    <mergeCell ref="J13:K13"/>
    <mergeCell ref="L13:M13"/>
    <mergeCell ref="N13:O13"/>
    <mergeCell ref="P13:Q13"/>
    <mergeCell ref="R13:S13"/>
    <mergeCell ref="B11:G11"/>
    <mergeCell ref="H11:I11"/>
    <mergeCell ref="J11:K11"/>
    <mergeCell ref="L11:M11"/>
    <mergeCell ref="N11:O11"/>
    <mergeCell ref="P11:Q11"/>
    <mergeCell ref="R9:S9"/>
    <mergeCell ref="B10:G10"/>
    <mergeCell ref="H10:I10"/>
    <mergeCell ref="J10:K10"/>
    <mergeCell ref="L10:M10"/>
    <mergeCell ref="N10:O10"/>
    <mergeCell ref="P10:Q10"/>
    <mergeCell ref="R10:S10"/>
    <mergeCell ref="B9:G9"/>
    <mergeCell ref="H9:I9"/>
    <mergeCell ref="J9:K9"/>
    <mergeCell ref="L9:M9"/>
    <mergeCell ref="N9:O9"/>
    <mergeCell ref="P9:Q9"/>
    <mergeCell ref="A6:S6"/>
    <mergeCell ref="R7:S7"/>
    <mergeCell ref="B8:G8"/>
    <mergeCell ref="H8:I8"/>
    <mergeCell ref="J8:K8"/>
    <mergeCell ref="L8:M8"/>
    <mergeCell ref="N8:O8"/>
    <mergeCell ref="P8:Q8"/>
    <mergeCell ref="R8:S8"/>
    <mergeCell ref="B7:G7"/>
    <mergeCell ref="H7:I7"/>
    <mergeCell ref="J7:K7"/>
    <mergeCell ref="L7:M7"/>
    <mergeCell ref="N7:O7"/>
    <mergeCell ref="P7:Q7"/>
    <mergeCell ref="C3:D3"/>
    <mergeCell ref="E3:S3"/>
    <mergeCell ref="A4:B4"/>
    <mergeCell ref="C4:D4"/>
    <mergeCell ref="E4:S4"/>
    <mergeCell ref="A5:B5"/>
    <mergeCell ref="C5:D5"/>
    <mergeCell ref="E5:S5"/>
    <mergeCell ref="A1:S1"/>
    <mergeCell ref="A2:B2"/>
    <mergeCell ref="C2:D2"/>
    <mergeCell ref="E2:S2"/>
    <mergeCell ref="A3:B3"/>
  </mergeCells>
  <pageMargins left="0.511811024" right="0.511811024" top="0.78740157500000008" bottom="0.78740157500000008" header="0.31496062000000008" footer="0.31496062000000008"/>
  <pageSetup paperSize="9" scale="65" fitToWidth="0" fitToHeight="0" orientation="portrait" r:id="rId1"/>
  <legacyDrawing r:id="rId2"/>
</worksheet>
</file>

<file path=docProps/app.xml><?xml version="1.0" encoding="utf-8"?>
<Properties xmlns="http://schemas.openxmlformats.org/officeDocument/2006/extended-properties" xmlns:vt="http://schemas.openxmlformats.org/officeDocument/2006/docPropsVTypes">
  <TotalTime>295</TotalTime>
  <Application>Microsoft Excel</Application>
  <DocSecurity>0</DocSecurity>
  <ScaleCrop>false</ScaleCrop>
  <HeadingPairs>
    <vt:vector size="4" baseType="variant">
      <vt:variant>
        <vt:lpstr>Planilhas</vt:lpstr>
      </vt:variant>
      <vt:variant>
        <vt:i4>26</vt:i4>
      </vt:variant>
      <vt:variant>
        <vt:lpstr>Intervalos Nomeados</vt:lpstr>
      </vt:variant>
      <vt:variant>
        <vt:i4>26</vt:i4>
      </vt:variant>
    </vt:vector>
  </HeadingPairs>
  <TitlesOfParts>
    <vt:vector size="52" baseType="lpstr">
      <vt:lpstr>INTRUÇÕES E AVISOS</vt:lpstr>
      <vt:lpstr>MEMÓRIA DE CÁLCULO REF 1º ANO</vt:lpstr>
      <vt:lpstr>DADOS BÁSICOS LICITAÇÃO</vt:lpstr>
      <vt:lpstr>RECEPÇÃO 1º ANO</vt:lpstr>
      <vt:lpstr>TELEFONISTA 1º ANO</vt:lpstr>
      <vt:lpstr>RESUMO</vt:lpstr>
      <vt:lpstr>MEMÓRIA DE CÁLCULO REF 2º ANO</vt:lpstr>
      <vt:lpstr>DADOS BÁSICOS 2º ANO</vt:lpstr>
      <vt:lpstr>RECEPÇÃO 2º ANO</vt:lpstr>
      <vt:lpstr>TELEFONISTA 2º ANO</vt:lpstr>
      <vt:lpstr>RESUMO 2º ANO</vt:lpstr>
      <vt:lpstr>MEMÓRIA DE CÁLCULO REF 3º ANO</vt:lpstr>
      <vt:lpstr>DADOS BÁSICOS 3º ANO</vt:lpstr>
      <vt:lpstr>RECEPÇÃO 3º ANO</vt:lpstr>
      <vt:lpstr>TELEFONISTA 3º ANO</vt:lpstr>
      <vt:lpstr>RESUMO 3º ANO</vt:lpstr>
      <vt:lpstr>MEMÓRIA DE CÁLCULO REF 4º ANO</vt:lpstr>
      <vt:lpstr>DADOS BÁSICOS 4º ANO</vt:lpstr>
      <vt:lpstr>RECEPÇÃO 4º ANO</vt:lpstr>
      <vt:lpstr>TELEFONISTA 4º ANO</vt:lpstr>
      <vt:lpstr>RESUMO 4º ANO</vt:lpstr>
      <vt:lpstr>MEMÓRIA DE CÁLCULO REF 5º ANO</vt:lpstr>
      <vt:lpstr>DADOS BÁSICOS 5º ANO</vt:lpstr>
      <vt:lpstr>RECEPÇÃO 5º ANO</vt:lpstr>
      <vt:lpstr>TELEFONISTA 5º ANO</vt:lpstr>
      <vt:lpstr>RESUMO 5º ANO</vt:lpstr>
      <vt:lpstr>'DADOS BÁSICOS 2º ANO'!Area_de_impressao</vt:lpstr>
      <vt:lpstr>'DADOS BÁSICOS 3º ANO'!Area_de_impressao</vt:lpstr>
      <vt:lpstr>'DADOS BÁSICOS 4º ANO'!Area_de_impressao</vt:lpstr>
      <vt:lpstr>'DADOS BÁSICOS 5º ANO'!Area_de_impressao</vt:lpstr>
      <vt:lpstr>'DADOS BÁSICOS LICITAÇÃO'!Area_de_impressao</vt:lpstr>
      <vt:lpstr>'INTRUÇÕES E AVISOS'!Area_de_impressao</vt:lpstr>
      <vt:lpstr>'MEMÓRIA DE CÁLCULO REF 1º ANO'!Area_de_impressao</vt:lpstr>
      <vt:lpstr>'MEMÓRIA DE CÁLCULO REF 2º ANO'!Area_de_impressao</vt:lpstr>
      <vt:lpstr>'MEMÓRIA DE CÁLCULO REF 3º ANO'!Area_de_impressao</vt:lpstr>
      <vt:lpstr>'MEMÓRIA DE CÁLCULO REF 4º ANO'!Area_de_impressao</vt:lpstr>
      <vt:lpstr>'MEMÓRIA DE CÁLCULO REF 5º ANO'!Area_de_impressao</vt:lpstr>
      <vt:lpstr>'RECEPÇÃO 1º ANO'!Area_de_impressao</vt:lpstr>
      <vt:lpstr>'RECEPÇÃO 2º ANO'!Area_de_impressao</vt:lpstr>
      <vt:lpstr>'RECEPÇÃO 3º ANO'!Area_de_impressao</vt:lpstr>
      <vt:lpstr>'RECEPÇÃO 4º ANO'!Area_de_impressao</vt:lpstr>
      <vt:lpstr>'RECEPÇÃO 5º ANO'!Area_de_impressao</vt:lpstr>
      <vt:lpstr>RESUMO!Area_de_impressao</vt:lpstr>
      <vt:lpstr>'RESUMO 2º ANO'!Area_de_impressao</vt:lpstr>
      <vt:lpstr>'RESUMO 3º ANO'!Area_de_impressao</vt:lpstr>
      <vt:lpstr>'RESUMO 4º ANO'!Area_de_impressao</vt:lpstr>
      <vt:lpstr>'RESUMO 5º ANO'!Area_de_impressao</vt:lpstr>
      <vt:lpstr>'TELEFONISTA 1º ANO'!Area_de_impressao</vt:lpstr>
      <vt:lpstr>'TELEFONISTA 2º ANO'!Area_de_impressao</vt:lpstr>
      <vt:lpstr>'TELEFONISTA 3º ANO'!Area_de_impressao</vt:lpstr>
      <vt:lpstr>'TELEFONISTA 4º ANO'!Area_de_impressao</vt:lpstr>
      <vt:lpstr>'TELEFONISTA 5º ANO'!Area_de_impressao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Secretaria da Receita Federal</dc:creator>
  <cp:lastModifiedBy>Marcio J. Ferro</cp:lastModifiedBy>
  <cp:revision>1</cp:revision>
  <cp:lastPrinted>2020-07-15T13:18:45Z</cp:lastPrinted>
  <dcterms:created xsi:type="dcterms:W3CDTF">2008-06-13T13:15:31Z</dcterms:created>
  <dcterms:modified xsi:type="dcterms:W3CDTF">2021-05-28T19:38:19Z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Ministerio da Fazenda</vt:lpwstr>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